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0490" windowHeight="7755" tabRatio="649" activeTab="6"/>
  </bookViews>
  <sheets>
    <sheet name="Пластун" sheetId="24" r:id="rId1"/>
    <sheet name="Светлая" sheetId="11" r:id="rId2"/>
    <sheet name="Самарга" sheetId="12" r:id="rId3"/>
    <sheet name="Перетычиха" sheetId="13" r:id="rId4"/>
    <sheet name="Максимовка" sheetId="15" r:id="rId5"/>
    <sheet name="Терней" sheetId="16" r:id="rId6"/>
    <sheet name="М.Кема" sheetId="17" r:id="rId7"/>
    <sheet name="АГЗУ" sheetId="19" r:id="rId8"/>
    <sheet name="АМГУ" sheetId="20" r:id="rId9"/>
    <sheet name="У-Собол" sheetId="21" r:id="rId10"/>
    <sheet name="СВОД" sheetId="26" r:id="rId11"/>
    <sheet name="Лист1" sheetId="27" r:id="rId12"/>
  </sheets>
  <calcPr calcId="125725"/>
</workbook>
</file>

<file path=xl/calcChain.xml><?xml version="1.0" encoding="utf-8"?>
<calcChain xmlns="http://schemas.openxmlformats.org/spreadsheetml/2006/main">
  <c r="B248" i="20"/>
  <c r="E247"/>
  <c r="J247"/>
  <c r="K247"/>
  <c r="L247"/>
  <c r="M247"/>
  <c r="O247"/>
  <c r="G246"/>
  <c r="F246"/>
  <c r="F249"/>
  <c r="E246"/>
  <c r="E245"/>
  <c r="E244"/>
  <c r="J244"/>
  <c r="K244"/>
  <c r="L244"/>
  <c r="M244"/>
  <c r="N244"/>
  <c r="G243"/>
  <c r="G248"/>
  <c r="G249"/>
  <c r="F243"/>
  <c r="F248"/>
  <c r="E243"/>
  <c r="I240"/>
  <c r="I241"/>
  <c r="I249"/>
  <c r="H240"/>
  <c r="H241"/>
  <c r="H249"/>
  <c r="B240"/>
  <c r="B241"/>
  <c r="B249"/>
  <c r="L228"/>
  <c r="E239"/>
  <c r="B237"/>
  <c r="E236"/>
  <c r="J236"/>
  <c r="K236"/>
  <c r="L236"/>
  <c r="M236"/>
  <c r="N236"/>
  <c r="E235"/>
  <c r="J235"/>
  <c r="K235"/>
  <c r="L235"/>
  <c r="M235"/>
  <c r="N235"/>
  <c r="E234"/>
  <c r="E237"/>
  <c r="Q70" i="16"/>
  <c r="K26" i="26"/>
  <c r="E68" i="16"/>
  <c r="C54" i="15"/>
  <c r="B54"/>
  <c r="C46" i="26"/>
  <c r="G26"/>
  <c r="G23"/>
  <c r="G22"/>
  <c r="E19"/>
  <c r="D20"/>
  <c r="D19"/>
  <c r="C29"/>
  <c r="D29"/>
  <c r="C20"/>
  <c r="H26" i="24"/>
  <c r="I26"/>
  <c r="I33"/>
  <c r="I43"/>
  <c r="B26"/>
  <c r="R26"/>
  <c r="L25"/>
  <c r="M25"/>
  <c r="O25"/>
  <c r="E25"/>
  <c r="K25"/>
  <c r="E18" i="21"/>
  <c r="E19"/>
  <c r="E24" i="17"/>
  <c r="J24"/>
  <c r="K24"/>
  <c r="E25" i="11"/>
  <c r="K25"/>
  <c r="L25"/>
  <c r="B23" i="26"/>
  <c r="B19"/>
  <c r="E25" i="19"/>
  <c r="B24"/>
  <c r="E19"/>
  <c r="E24" i="13"/>
  <c r="J24"/>
  <c r="K24"/>
  <c r="L24"/>
  <c r="M24"/>
  <c r="N24"/>
  <c r="B23"/>
  <c r="F24" i="12"/>
  <c r="K24"/>
  <c r="L24"/>
  <c r="M24"/>
  <c r="N24"/>
  <c r="O24"/>
  <c r="F18"/>
  <c r="K22" i="24"/>
  <c r="L22"/>
  <c r="E23"/>
  <c r="K23"/>
  <c r="E24"/>
  <c r="E22"/>
  <c r="E18" i="13"/>
  <c r="E19"/>
  <c r="H57" i="15"/>
  <c r="H58"/>
  <c r="E56"/>
  <c r="K56"/>
  <c r="K57"/>
  <c r="E203" i="20"/>
  <c r="J203"/>
  <c r="E69" i="16"/>
  <c r="E67"/>
  <c r="K67"/>
  <c r="L67"/>
  <c r="E21" i="24"/>
  <c r="E19" i="11"/>
  <c r="E20"/>
  <c r="E19" i="17"/>
  <c r="J19"/>
  <c r="J20"/>
  <c r="E23" i="21"/>
  <c r="E24"/>
  <c r="J24"/>
  <c r="E25"/>
  <c r="E26"/>
  <c r="E211" i="20"/>
  <c r="E207"/>
  <c r="E60" i="15"/>
  <c r="I70" i="16"/>
  <c r="I84"/>
  <c r="I86"/>
  <c r="J70"/>
  <c r="J84"/>
  <c r="J86"/>
  <c r="H70"/>
  <c r="H84"/>
  <c r="H86"/>
  <c r="B70"/>
  <c r="C19" i="26"/>
  <c r="G210" i="20"/>
  <c r="F210"/>
  <c r="G207"/>
  <c r="F207"/>
  <c r="F19" i="12"/>
  <c r="J19"/>
  <c r="I19"/>
  <c r="C19"/>
  <c r="C28" i="26"/>
  <c r="I20" i="19"/>
  <c r="H20"/>
  <c r="H21"/>
  <c r="H28"/>
  <c r="B20"/>
  <c r="J18" i="13"/>
  <c r="K18"/>
  <c r="I19"/>
  <c r="H19"/>
  <c r="B19"/>
  <c r="C27" i="26"/>
  <c r="D27" s="1"/>
  <c r="I19" i="21"/>
  <c r="H19"/>
  <c r="H20"/>
  <c r="B19"/>
  <c r="C26" i="26"/>
  <c r="I204" i="20"/>
  <c r="H204"/>
  <c r="H205"/>
  <c r="H213"/>
  <c r="B204"/>
  <c r="C24" i="26"/>
  <c r="H20" i="17"/>
  <c r="I20"/>
  <c r="B20"/>
  <c r="C23" i="26"/>
  <c r="H23" s="1"/>
  <c r="E73" i="16"/>
  <c r="K73"/>
  <c r="B57" i="15"/>
  <c r="C25" i="26"/>
  <c r="D25" s="1"/>
  <c r="H33" i="24"/>
  <c r="H43"/>
  <c r="K69" i="16"/>
  <c r="L69"/>
  <c r="J85"/>
  <c r="I85"/>
  <c r="H85"/>
  <c r="G84"/>
  <c r="F84"/>
  <c r="B83"/>
  <c r="G19" i="26"/>
  <c r="B85" i="16"/>
  <c r="E82"/>
  <c r="K82"/>
  <c r="L82"/>
  <c r="E81"/>
  <c r="E80"/>
  <c r="K80"/>
  <c r="E79"/>
  <c r="G78"/>
  <c r="G83"/>
  <c r="G85"/>
  <c r="G86"/>
  <c r="F78"/>
  <c r="F83"/>
  <c r="F85"/>
  <c r="F86"/>
  <c r="E78"/>
  <c r="E77"/>
  <c r="B75"/>
  <c r="E74"/>
  <c r="K74"/>
  <c r="L74"/>
  <c r="E72"/>
  <c r="B65"/>
  <c r="E64"/>
  <c r="K64"/>
  <c r="L64"/>
  <c r="N64"/>
  <c r="E63"/>
  <c r="K63"/>
  <c r="L63"/>
  <c r="N63"/>
  <c r="E62"/>
  <c r="K62"/>
  <c r="L62"/>
  <c r="N62"/>
  <c r="E61"/>
  <c r="K61"/>
  <c r="H20" i="11"/>
  <c r="H21"/>
  <c r="H31"/>
  <c r="I20"/>
  <c r="I21"/>
  <c r="I31"/>
  <c r="L20"/>
  <c r="B20"/>
  <c r="C22" i="26"/>
  <c r="B30" i="11"/>
  <c r="K18" i="12"/>
  <c r="K19"/>
  <c r="E16" i="17"/>
  <c r="J16"/>
  <c r="K16"/>
  <c r="L16"/>
  <c r="M16"/>
  <c r="O16"/>
  <c r="B17"/>
  <c r="P27" i="19"/>
  <c r="Q27"/>
  <c r="B27"/>
  <c r="G29" i="26"/>
  <c r="G26" i="19"/>
  <c r="F26"/>
  <c r="J26"/>
  <c r="E26"/>
  <c r="E24"/>
  <c r="C26" i="12"/>
  <c r="G28" i="26"/>
  <c r="H25" i="12"/>
  <c r="G25"/>
  <c r="F25"/>
  <c r="K25"/>
  <c r="L25"/>
  <c r="M25"/>
  <c r="N25"/>
  <c r="O25"/>
  <c r="F23"/>
  <c r="K23"/>
  <c r="G25" i="13"/>
  <c r="F25"/>
  <c r="E25"/>
  <c r="J25"/>
  <c r="K25"/>
  <c r="K27"/>
  <c r="E23"/>
  <c r="J23"/>
  <c r="K23"/>
  <c r="L23"/>
  <c r="G63" i="15"/>
  <c r="F63"/>
  <c r="E63"/>
  <c r="E62"/>
  <c r="E61"/>
  <c r="E65"/>
  <c r="K61"/>
  <c r="G25" i="21"/>
  <c r="F25"/>
  <c r="J23"/>
  <c r="K23"/>
  <c r="E210" i="20"/>
  <c r="E209"/>
  <c r="E208"/>
  <c r="J208"/>
  <c r="K208"/>
  <c r="L208"/>
  <c r="B28" i="17"/>
  <c r="G25"/>
  <c r="F25"/>
  <c r="E25"/>
  <c r="E23"/>
  <c r="J23"/>
  <c r="G27" i="11"/>
  <c r="F27"/>
  <c r="E27"/>
  <c r="K27"/>
  <c r="L27"/>
  <c r="M27"/>
  <c r="E26"/>
  <c r="K26"/>
  <c r="L26"/>
  <c r="M26"/>
  <c r="N26"/>
  <c r="E23"/>
  <c r="K23"/>
  <c r="B42" i="24"/>
  <c r="G20" i="26"/>
  <c r="J33" i="24"/>
  <c r="J43"/>
  <c r="E39"/>
  <c r="K39"/>
  <c r="E38"/>
  <c r="K38"/>
  <c r="E37"/>
  <c r="K37"/>
  <c r="E36"/>
  <c r="E35"/>
  <c r="K35"/>
  <c r="L37"/>
  <c r="M37"/>
  <c r="G38" i="16"/>
  <c r="F38"/>
  <c r="B37"/>
  <c r="E36"/>
  <c r="K36"/>
  <c r="E35"/>
  <c r="E34"/>
  <c r="E31"/>
  <c r="K31"/>
  <c r="L4" i="27"/>
  <c r="K9"/>
  <c r="J20"/>
  <c r="K20"/>
  <c r="C16"/>
  <c r="B16"/>
  <c r="L18"/>
  <c r="L10"/>
  <c r="L7"/>
  <c r="L6"/>
  <c r="C9"/>
  <c r="D9"/>
  <c r="E9"/>
  <c r="F9"/>
  <c r="G9"/>
  <c r="H9"/>
  <c r="I9"/>
  <c r="J9"/>
  <c r="B9"/>
  <c r="K17"/>
  <c r="K15"/>
  <c r="K16" s="1"/>
  <c r="K22" s="1"/>
  <c r="K5"/>
  <c r="J17"/>
  <c r="J15"/>
  <c r="J16"/>
  <c r="J22" s="1"/>
  <c r="J5"/>
  <c r="J21" s="1"/>
  <c r="I19"/>
  <c r="I20" s="1"/>
  <c r="I17"/>
  <c r="I15"/>
  <c r="I16"/>
  <c r="I5"/>
  <c r="H19"/>
  <c r="H20"/>
  <c r="H17"/>
  <c r="H15"/>
  <c r="H16"/>
  <c r="H22" s="1"/>
  <c r="H5"/>
  <c r="H21"/>
  <c r="H3"/>
  <c r="G19"/>
  <c r="G20" s="1"/>
  <c r="G22" s="1"/>
  <c r="G17"/>
  <c r="G5"/>
  <c r="G15"/>
  <c r="G3"/>
  <c r="G21" s="1"/>
  <c r="F19"/>
  <c r="F20"/>
  <c r="F17"/>
  <c r="F15"/>
  <c r="F16" s="1"/>
  <c r="F22" s="1"/>
  <c r="F13"/>
  <c r="F5"/>
  <c r="E19"/>
  <c r="E20" s="1"/>
  <c r="D19"/>
  <c r="D20" s="1"/>
  <c r="D22" s="1"/>
  <c r="C19"/>
  <c r="C20" s="1"/>
  <c r="C22" s="1"/>
  <c r="B19"/>
  <c r="B20" s="1"/>
  <c r="B22" s="1"/>
  <c r="L22" s="1"/>
  <c r="E17"/>
  <c r="E15"/>
  <c r="E16" s="1"/>
  <c r="E22" s="1"/>
  <c r="E13"/>
  <c r="E5"/>
  <c r="D15"/>
  <c r="D17"/>
  <c r="D13"/>
  <c r="D5"/>
  <c r="D3"/>
  <c r="C17"/>
  <c r="C11"/>
  <c r="C5"/>
  <c r="C3"/>
  <c r="B17"/>
  <c r="B13"/>
  <c r="L13"/>
  <c r="B11"/>
  <c r="B5"/>
  <c r="B3"/>
  <c r="L3"/>
  <c r="B65" i="15"/>
  <c r="G25" i="26"/>
  <c r="G60" i="15"/>
  <c r="G65"/>
  <c r="G66"/>
  <c r="F60"/>
  <c r="E64"/>
  <c r="J57"/>
  <c r="J58"/>
  <c r="J66"/>
  <c r="I57"/>
  <c r="I58"/>
  <c r="I66"/>
  <c r="E53"/>
  <c r="E52"/>
  <c r="E28"/>
  <c r="K28"/>
  <c r="K29"/>
  <c r="E24"/>
  <c r="E25"/>
  <c r="E23"/>
  <c r="E15"/>
  <c r="E14"/>
  <c r="B27" i="13"/>
  <c r="G27" i="26"/>
  <c r="E26" i="13"/>
  <c r="J26"/>
  <c r="K26"/>
  <c r="L26"/>
  <c r="M26"/>
  <c r="N26"/>
  <c r="O26"/>
  <c r="G22"/>
  <c r="G27"/>
  <c r="G28"/>
  <c r="F22"/>
  <c r="E22"/>
  <c r="E27"/>
  <c r="I20"/>
  <c r="I28"/>
  <c r="H20"/>
  <c r="H28"/>
  <c r="B16"/>
  <c r="B27" i="26"/>
  <c r="B20" i="13"/>
  <c r="E15"/>
  <c r="E14"/>
  <c r="J14"/>
  <c r="G23" i="19"/>
  <c r="G27"/>
  <c r="G28"/>
  <c r="F23"/>
  <c r="F27"/>
  <c r="F28"/>
  <c r="E23"/>
  <c r="J23"/>
  <c r="I21"/>
  <c r="I28"/>
  <c r="B17"/>
  <c r="B29" i="26"/>
  <c r="E16" i="19"/>
  <c r="E15"/>
  <c r="I205" i="20"/>
  <c r="I213"/>
  <c r="H22" i="12"/>
  <c r="H26"/>
  <c r="H27"/>
  <c r="G22"/>
  <c r="G26"/>
  <c r="G27"/>
  <c r="F22"/>
  <c r="E14" i="21"/>
  <c r="J14"/>
  <c r="J16"/>
  <c r="E15"/>
  <c r="J15"/>
  <c r="K15"/>
  <c r="L15"/>
  <c r="M15"/>
  <c r="N15"/>
  <c r="B16"/>
  <c r="B26" i="26"/>
  <c r="H26" s="1"/>
  <c r="B20" i="21"/>
  <c r="H28"/>
  <c r="I20"/>
  <c r="I28"/>
  <c r="E22"/>
  <c r="E27"/>
  <c r="E28"/>
  <c r="F22"/>
  <c r="J22"/>
  <c r="G22"/>
  <c r="G27"/>
  <c r="G28"/>
  <c r="J26"/>
  <c r="K26"/>
  <c r="L26"/>
  <c r="M26"/>
  <c r="N26"/>
  <c r="O26"/>
  <c r="B27"/>
  <c r="B28"/>
  <c r="L8"/>
  <c r="E18" i="20"/>
  <c r="J18"/>
  <c r="K18"/>
  <c r="E19"/>
  <c r="J19"/>
  <c r="K19"/>
  <c r="E20"/>
  <c r="J20"/>
  <c r="K20"/>
  <c r="L20"/>
  <c r="M20"/>
  <c r="N20"/>
  <c r="B21"/>
  <c r="K23"/>
  <c r="L23"/>
  <c r="M23"/>
  <c r="N23"/>
  <c r="K24"/>
  <c r="L24"/>
  <c r="M24"/>
  <c r="N24"/>
  <c r="K25"/>
  <c r="L25"/>
  <c r="M25"/>
  <c r="N25"/>
  <c r="K26"/>
  <c r="B27"/>
  <c r="E27"/>
  <c r="F27"/>
  <c r="G27"/>
  <c r="H27"/>
  <c r="H37"/>
  <c r="I27"/>
  <c r="I37"/>
  <c r="J27"/>
  <c r="R27"/>
  <c r="E29"/>
  <c r="B30"/>
  <c r="B37"/>
  <c r="L8"/>
  <c r="E32"/>
  <c r="J32"/>
  <c r="F33"/>
  <c r="F36"/>
  <c r="F37"/>
  <c r="G33"/>
  <c r="F34"/>
  <c r="G34"/>
  <c r="J35"/>
  <c r="K35"/>
  <c r="L35"/>
  <c r="M35"/>
  <c r="N35"/>
  <c r="B36"/>
  <c r="E82"/>
  <c r="J82"/>
  <c r="K82"/>
  <c r="E83"/>
  <c r="J83"/>
  <c r="E84"/>
  <c r="J84"/>
  <c r="K84"/>
  <c r="L84"/>
  <c r="M84"/>
  <c r="N84"/>
  <c r="B85"/>
  <c r="K87"/>
  <c r="L87"/>
  <c r="M87"/>
  <c r="N87"/>
  <c r="K88"/>
  <c r="L88"/>
  <c r="M88"/>
  <c r="N88"/>
  <c r="K89"/>
  <c r="L89"/>
  <c r="M89"/>
  <c r="N89"/>
  <c r="K90"/>
  <c r="K91"/>
  <c r="L90"/>
  <c r="B91"/>
  <c r="E91"/>
  <c r="F91"/>
  <c r="G91"/>
  <c r="H91"/>
  <c r="H101"/>
  <c r="I91"/>
  <c r="I101"/>
  <c r="J91"/>
  <c r="R91"/>
  <c r="E93"/>
  <c r="B94"/>
  <c r="E96"/>
  <c r="F97"/>
  <c r="G97"/>
  <c r="G100"/>
  <c r="J97"/>
  <c r="F98"/>
  <c r="G98"/>
  <c r="J99"/>
  <c r="K99"/>
  <c r="L99"/>
  <c r="M99"/>
  <c r="N99"/>
  <c r="B100"/>
  <c r="E147"/>
  <c r="E148"/>
  <c r="J148"/>
  <c r="K148"/>
  <c r="L148"/>
  <c r="M148"/>
  <c r="N148"/>
  <c r="E149"/>
  <c r="J149"/>
  <c r="K149"/>
  <c r="L149"/>
  <c r="M149"/>
  <c r="N149"/>
  <c r="B150"/>
  <c r="K152"/>
  <c r="L152"/>
  <c r="M152"/>
  <c r="N152"/>
  <c r="K153"/>
  <c r="L153"/>
  <c r="M153"/>
  <c r="N153"/>
  <c r="K154"/>
  <c r="L154"/>
  <c r="L156"/>
  <c r="B156"/>
  <c r="E156"/>
  <c r="F156"/>
  <c r="G156"/>
  <c r="H156"/>
  <c r="H166"/>
  <c r="I156"/>
  <c r="J156"/>
  <c r="O156"/>
  <c r="E158"/>
  <c r="J158"/>
  <c r="K158"/>
  <c r="L158"/>
  <c r="M158"/>
  <c r="N158"/>
  <c r="B159"/>
  <c r="E161"/>
  <c r="E165"/>
  <c r="J161"/>
  <c r="F162"/>
  <c r="G162"/>
  <c r="J162"/>
  <c r="F163"/>
  <c r="G163"/>
  <c r="G165"/>
  <c r="G166"/>
  <c r="J163"/>
  <c r="J164"/>
  <c r="K164"/>
  <c r="L164"/>
  <c r="M164"/>
  <c r="N164"/>
  <c r="O164"/>
  <c r="B165"/>
  <c r="I166"/>
  <c r="E198"/>
  <c r="J198"/>
  <c r="E199"/>
  <c r="J199"/>
  <c r="K199"/>
  <c r="L199"/>
  <c r="M199"/>
  <c r="N199"/>
  <c r="E200"/>
  <c r="J200"/>
  <c r="K200"/>
  <c r="L200"/>
  <c r="M200"/>
  <c r="N200"/>
  <c r="B201"/>
  <c r="F212"/>
  <c r="F213"/>
  <c r="G212"/>
  <c r="G213"/>
  <c r="J211"/>
  <c r="K211"/>
  <c r="L211"/>
  <c r="M211"/>
  <c r="B212"/>
  <c r="G24" i="26"/>
  <c r="E14" i="17"/>
  <c r="J14"/>
  <c r="E15"/>
  <c r="E17"/>
  <c r="B21"/>
  <c r="B29"/>
  <c r="L8"/>
  <c r="H21"/>
  <c r="H29"/>
  <c r="I21"/>
  <c r="I29"/>
  <c r="E26"/>
  <c r="J26"/>
  <c r="F26"/>
  <c r="F28"/>
  <c r="G26"/>
  <c r="G28"/>
  <c r="G29"/>
  <c r="E27"/>
  <c r="J27"/>
  <c r="K27"/>
  <c r="L27"/>
  <c r="M27"/>
  <c r="N27"/>
  <c r="E14" i="16"/>
  <c r="K14"/>
  <c r="E15"/>
  <c r="K15"/>
  <c r="E16"/>
  <c r="E17"/>
  <c r="K17"/>
  <c r="E18"/>
  <c r="B19"/>
  <c r="B38"/>
  <c r="B40"/>
  <c r="L8"/>
  <c r="K21"/>
  <c r="L21"/>
  <c r="N21"/>
  <c r="K22"/>
  <c r="L22"/>
  <c r="N22"/>
  <c r="K23"/>
  <c r="L23"/>
  <c r="N23"/>
  <c r="K24"/>
  <c r="L24"/>
  <c r="N24"/>
  <c r="B25"/>
  <c r="E25"/>
  <c r="H25"/>
  <c r="H38"/>
  <c r="H40"/>
  <c r="I25"/>
  <c r="I38"/>
  <c r="J25"/>
  <c r="J38"/>
  <c r="J40"/>
  <c r="E27"/>
  <c r="K27"/>
  <c r="E28"/>
  <c r="K28"/>
  <c r="L28"/>
  <c r="B29"/>
  <c r="F21" i="26"/>
  <c r="E32" i="16"/>
  <c r="E37"/>
  <c r="E39"/>
  <c r="F32"/>
  <c r="F37"/>
  <c r="F39"/>
  <c r="F40"/>
  <c r="G32"/>
  <c r="E33"/>
  <c r="B39"/>
  <c r="H39"/>
  <c r="I39"/>
  <c r="I40"/>
  <c r="J39"/>
  <c r="K18" i="15"/>
  <c r="L18"/>
  <c r="K19"/>
  <c r="B21"/>
  <c r="B30"/>
  <c r="O8"/>
  <c r="E21"/>
  <c r="I21"/>
  <c r="J21"/>
  <c r="J30"/>
  <c r="K23"/>
  <c r="K24"/>
  <c r="L24"/>
  <c r="M24"/>
  <c r="F25"/>
  <c r="F26"/>
  <c r="F30"/>
  <c r="G25"/>
  <c r="B26"/>
  <c r="L28"/>
  <c r="L29"/>
  <c r="B29"/>
  <c r="C29"/>
  <c r="I30"/>
  <c r="F14" i="12"/>
  <c r="K14"/>
  <c r="F15"/>
  <c r="K15"/>
  <c r="C16"/>
  <c r="B28" i="26"/>
  <c r="L18" i="12"/>
  <c r="L19"/>
  <c r="I20"/>
  <c r="I27"/>
  <c r="J20"/>
  <c r="J27"/>
  <c r="E14" i="11"/>
  <c r="K14"/>
  <c r="E15"/>
  <c r="E16"/>
  <c r="K16"/>
  <c r="L16"/>
  <c r="B17"/>
  <c r="B22" i="26"/>
  <c r="K19" i="11"/>
  <c r="M19"/>
  <c r="K20"/>
  <c r="E24"/>
  <c r="F30" i="26"/>
  <c r="E28" i="11"/>
  <c r="F28"/>
  <c r="F30"/>
  <c r="F31"/>
  <c r="G28"/>
  <c r="G30"/>
  <c r="G31"/>
  <c r="E29"/>
  <c r="K29"/>
  <c r="E13" i="24"/>
  <c r="K13"/>
  <c r="K19"/>
  <c r="E14"/>
  <c r="K14"/>
  <c r="L14"/>
  <c r="E15"/>
  <c r="K15"/>
  <c r="L15"/>
  <c r="E16"/>
  <c r="K16"/>
  <c r="L16"/>
  <c r="M16"/>
  <c r="O16"/>
  <c r="E17"/>
  <c r="K17"/>
  <c r="L17"/>
  <c r="E18"/>
  <c r="K18"/>
  <c r="B19"/>
  <c r="K21"/>
  <c r="L21"/>
  <c r="E28"/>
  <c r="E32"/>
  <c r="K28"/>
  <c r="E29"/>
  <c r="K29"/>
  <c r="E31"/>
  <c r="K31"/>
  <c r="B32"/>
  <c r="E20" i="26"/>
  <c r="E21" s="1"/>
  <c r="E40" i="24"/>
  <c r="F40"/>
  <c r="K40"/>
  <c r="L40"/>
  <c r="F42"/>
  <c r="F43"/>
  <c r="G40"/>
  <c r="G42"/>
  <c r="G43"/>
  <c r="E41"/>
  <c r="K41"/>
  <c r="M41"/>
  <c r="L23" i="15"/>
  <c r="L19"/>
  <c r="M19"/>
  <c r="K21"/>
  <c r="M23"/>
  <c r="N23"/>
  <c r="E16" i="21"/>
  <c r="E20"/>
  <c r="K161" i="20"/>
  <c r="E85"/>
  <c r="E201"/>
  <c r="K97"/>
  <c r="L97"/>
  <c r="M97"/>
  <c r="N97"/>
  <c r="G101"/>
  <c r="J15" i="13"/>
  <c r="K15"/>
  <c r="L15"/>
  <c r="M15"/>
  <c r="N15"/>
  <c r="M28" i="15"/>
  <c r="N28"/>
  <c r="M29"/>
  <c r="L5" i="27"/>
  <c r="L11"/>
  <c r="J21" i="20"/>
  <c r="G16" i="27"/>
  <c r="F29" i="17"/>
  <c r="E30" i="26"/>
  <c r="G21"/>
  <c r="K35" i="16"/>
  <c r="L35"/>
  <c r="M35"/>
  <c r="N35"/>
  <c r="B21" i="27"/>
  <c r="L21" s="1"/>
  <c r="J15" i="19"/>
  <c r="K15"/>
  <c r="L15"/>
  <c r="J24"/>
  <c r="K24"/>
  <c r="L24"/>
  <c r="M24"/>
  <c r="N24"/>
  <c r="O24"/>
  <c r="O27"/>
  <c r="O28"/>
  <c r="C20" i="12"/>
  <c r="C27"/>
  <c r="M8"/>
  <c r="L23"/>
  <c r="M23"/>
  <c r="N23"/>
  <c r="O23"/>
  <c r="P23"/>
  <c r="P26"/>
  <c r="P27"/>
  <c r="J22" i="13"/>
  <c r="K22"/>
  <c r="L22"/>
  <c r="I21" i="27"/>
  <c r="K62" i="15"/>
  <c r="J25" i="21"/>
  <c r="K25"/>
  <c r="L25"/>
  <c r="M25"/>
  <c r="N25"/>
  <c r="N24" i="15"/>
  <c r="L62"/>
  <c r="M62"/>
  <c r="N62"/>
  <c r="O62"/>
  <c r="P62"/>
  <c r="K28" i="11"/>
  <c r="L28"/>
  <c r="M28"/>
  <c r="O19"/>
  <c r="O20"/>
  <c r="H6" i="26"/>
  <c r="E29" i="16"/>
  <c r="B84"/>
  <c r="B86"/>
  <c r="L55"/>
  <c r="K72"/>
  <c r="L72"/>
  <c r="K77"/>
  <c r="L77"/>
  <c r="M77"/>
  <c r="K79"/>
  <c r="L79"/>
  <c r="K81"/>
  <c r="L81"/>
  <c r="L35" i="24"/>
  <c r="K24"/>
  <c r="L24"/>
  <c r="L41"/>
  <c r="K25" i="16"/>
  <c r="F16" i="12"/>
  <c r="F20"/>
  <c r="K26" i="19"/>
  <c r="L26"/>
  <c r="M26"/>
  <c r="N26"/>
  <c r="B21"/>
  <c r="B28"/>
  <c r="L8"/>
  <c r="F27" i="13"/>
  <c r="F28"/>
  <c r="J16"/>
  <c r="F27" i="21"/>
  <c r="F28"/>
  <c r="L21" i="15"/>
  <c r="G26"/>
  <c r="G30"/>
  <c r="O158" i="20"/>
  <c r="O159"/>
  <c r="N159"/>
  <c r="K83"/>
  <c r="L83"/>
  <c r="M83"/>
  <c r="N83"/>
  <c r="L19"/>
  <c r="M19"/>
  <c r="N19"/>
  <c r="K162"/>
  <c r="M154"/>
  <c r="J207"/>
  <c r="K207"/>
  <c r="L207"/>
  <c r="M207"/>
  <c r="E159"/>
  <c r="J209"/>
  <c r="K209"/>
  <c r="L209"/>
  <c r="M209"/>
  <c r="O209"/>
  <c r="K26" i="17"/>
  <c r="L26"/>
  <c r="M26"/>
  <c r="O26"/>
  <c r="J15"/>
  <c r="L29" i="11"/>
  <c r="M29"/>
  <c r="L39" i="24"/>
  <c r="M39"/>
  <c r="L38"/>
  <c r="M38"/>
  <c r="L36"/>
  <c r="C21" i="27"/>
  <c r="M14" i="24"/>
  <c r="O14"/>
  <c r="E19"/>
  <c r="L14" i="16"/>
  <c r="L31"/>
  <c r="K33"/>
  <c r="E65"/>
  <c r="E84"/>
  <c r="L25" i="13"/>
  <c r="M25"/>
  <c r="N25"/>
  <c r="K22" i="21"/>
  <c r="L22"/>
  <c r="M22"/>
  <c r="J159" i="20"/>
  <c r="K159"/>
  <c r="L159"/>
  <c r="M159"/>
  <c r="N154"/>
  <c r="N156"/>
  <c r="P156"/>
  <c r="Q156"/>
  <c r="M156"/>
  <c r="L162"/>
  <c r="M162"/>
  <c r="N162"/>
  <c r="O162"/>
  <c r="K15" i="17"/>
  <c r="M31" i="16"/>
  <c r="N31"/>
  <c r="E44"/>
  <c r="L15" i="17"/>
  <c r="M15"/>
  <c r="O15"/>
  <c r="E57" i="15"/>
  <c r="N69" i="16"/>
  <c r="E70"/>
  <c r="E20" i="17"/>
  <c r="E21"/>
  <c r="J19" i="13"/>
  <c r="J20"/>
  <c r="L56" i="15"/>
  <c r="M56"/>
  <c r="M57"/>
  <c r="L57"/>
  <c r="N209" i="20"/>
  <c r="J201"/>
  <c r="K198"/>
  <c r="N29" i="11"/>
  <c r="N27"/>
  <c r="O26"/>
  <c r="L23"/>
  <c r="L61" i="16"/>
  <c r="L80"/>
  <c r="M80"/>
  <c r="N80"/>
  <c r="M79"/>
  <c r="N79"/>
  <c r="N77"/>
  <c r="E75"/>
  <c r="L73"/>
  <c r="M73"/>
  <c r="N61"/>
  <c r="N65"/>
  <c r="L65"/>
  <c r="M208" i="20"/>
  <c r="N208"/>
  <c r="K21" i="27"/>
  <c r="N37" i="24"/>
  <c r="O37"/>
  <c r="M35"/>
  <c r="L29"/>
  <c r="M29"/>
  <c r="M21"/>
  <c r="L13"/>
  <c r="O21"/>
  <c r="M13"/>
  <c r="M23" i="13"/>
  <c r="N23"/>
  <c r="O23"/>
  <c r="O27"/>
  <c r="O28"/>
  <c r="O13" i="24"/>
  <c r="K24" i="21"/>
  <c r="L24"/>
  <c r="M24"/>
  <c r="N24"/>
  <c r="O24"/>
  <c r="O27"/>
  <c r="O28"/>
  <c r="D28" i="26"/>
  <c r="M18" i="12"/>
  <c r="L24" i="17"/>
  <c r="M25" i="11"/>
  <c r="N25"/>
  <c r="M24" i="17"/>
  <c r="O24"/>
  <c r="J18" i="21"/>
  <c r="K18"/>
  <c r="J19"/>
  <c r="O27" i="17"/>
  <c r="K23"/>
  <c r="F31" i="26"/>
  <c r="D21"/>
  <c r="C21"/>
  <c r="D24"/>
  <c r="J204" i="20"/>
  <c r="J205"/>
  <c r="H29" i="26"/>
  <c r="D23"/>
  <c r="K19" i="17"/>
  <c r="L19"/>
  <c r="L20"/>
  <c r="K20"/>
  <c r="M19"/>
  <c r="M20"/>
  <c r="O19"/>
  <c r="O20"/>
  <c r="H7" i="26"/>
  <c r="D26"/>
  <c r="N67" i="16"/>
  <c r="L23" i="21"/>
  <c r="K19" i="13"/>
  <c r="L18"/>
  <c r="M18"/>
  <c r="N18"/>
  <c r="N19"/>
  <c r="H11" i="26"/>
  <c r="L19" i="13"/>
  <c r="M20" i="11"/>
  <c r="D22" i="26"/>
  <c r="H22"/>
  <c r="C30"/>
  <c r="C31" s="1"/>
  <c r="P20" i="11"/>
  <c r="B21"/>
  <c r="B31"/>
  <c r="L8"/>
  <c r="H28" i="26"/>
  <c r="G30"/>
  <c r="G31" s="1"/>
  <c r="N247" i="20"/>
  <c r="J239"/>
  <c r="J240"/>
  <c r="E240"/>
  <c r="E241"/>
  <c r="E249"/>
  <c r="J243"/>
  <c r="J245"/>
  <c r="E248"/>
  <c r="J234"/>
  <c r="K239"/>
  <c r="K240"/>
  <c r="L239"/>
  <c r="L240"/>
  <c r="L241"/>
  <c r="J237"/>
  <c r="K234"/>
  <c r="K237"/>
  <c r="K241"/>
  <c r="J241"/>
  <c r="K243"/>
  <c r="L243"/>
  <c r="M239"/>
  <c r="L234"/>
  <c r="L237"/>
  <c r="M234"/>
  <c r="K245"/>
  <c r="J248"/>
  <c r="J249"/>
  <c r="O23" i="15"/>
  <c r="P23"/>
  <c r="K16" i="12"/>
  <c r="K20"/>
  <c r="L14"/>
  <c r="M28" i="16"/>
  <c r="N28"/>
  <c r="K16"/>
  <c r="L16"/>
  <c r="N16"/>
  <c r="J17" i="17"/>
  <c r="J21"/>
  <c r="K14"/>
  <c r="L23" i="24"/>
  <c r="M23"/>
  <c r="K26"/>
  <c r="N234" i="20"/>
  <c r="N237"/>
  <c r="M237"/>
  <c r="M240"/>
  <c r="M241"/>
  <c r="N239"/>
  <c r="N240"/>
  <c r="N241"/>
  <c r="O25" i="11"/>
  <c r="N29" i="24"/>
  <c r="O29"/>
  <c r="M23" i="11"/>
  <c r="N28"/>
  <c r="O28"/>
  <c r="O24" i="15"/>
  <c r="P24"/>
  <c r="M15" i="19"/>
  <c r="N29" i="15"/>
  <c r="L33"/>
  <c r="O28"/>
  <c r="O29"/>
  <c r="N41" i="24"/>
  <c r="O41"/>
  <c r="L31"/>
  <c r="M31"/>
  <c r="K32"/>
  <c r="M28"/>
  <c r="L28"/>
  <c r="L32"/>
  <c r="B20" i="26"/>
  <c r="B33" i="24"/>
  <c r="B43"/>
  <c r="L8"/>
  <c r="M17"/>
  <c r="O17"/>
  <c r="E30" i="11"/>
  <c r="K24"/>
  <c r="L14"/>
  <c r="N25" i="16"/>
  <c r="O25"/>
  <c r="J98" i="20"/>
  <c r="K98"/>
  <c r="L98"/>
  <c r="M98"/>
  <c r="N98"/>
  <c r="J34"/>
  <c r="G36"/>
  <c r="G37"/>
  <c r="J16" i="19"/>
  <c r="K16"/>
  <c r="E17"/>
  <c r="E21"/>
  <c r="M243" i="20"/>
  <c r="M19" i="13"/>
  <c r="L23" i="17"/>
  <c r="L18" i="21"/>
  <c r="K19"/>
  <c r="J27" i="13"/>
  <c r="J28"/>
  <c r="L198" i="20"/>
  <c r="K201"/>
  <c r="N14" i="16"/>
  <c r="O29" i="11"/>
  <c r="P159" i="20"/>
  <c r="Q159"/>
  <c r="M81" i="16"/>
  <c r="N81"/>
  <c r="L75"/>
  <c r="M72"/>
  <c r="J17" i="19"/>
  <c r="L161" i="20"/>
  <c r="M161"/>
  <c r="N161"/>
  <c r="L53" i="15"/>
  <c r="M23" i="21"/>
  <c r="N23"/>
  <c r="L27"/>
  <c r="N18" i="12"/>
  <c r="M19"/>
  <c r="K75" i="16"/>
  <c r="M15" i="24"/>
  <c r="O15"/>
  <c r="O19"/>
  <c r="L42"/>
  <c r="P28" i="15"/>
  <c r="P29"/>
  <c r="L32"/>
  <c r="L34"/>
  <c r="N211" i="20"/>
  <c r="O211"/>
  <c r="O212"/>
  <c r="O213"/>
  <c r="B205"/>
  <c r="B213"/>
  <c r="L192"/>
  <c r="B24" i="26"/>
  <c r="H24" s="1"/>
  <c r="B166" i="20"/>
  <c r="L137"/>
  <c r="K85"/>
  <c r="L82"/>
  <c r="L26"/>
  <c r="K27"/>
  <c r="O27" i="11"/>
  <c r="K23" i="19"/>
  <c r="K36" i="24"/>
  <c r="E42"/>
  <c r="J210" i="20"/>
  <c r="K210"/>
  <c r="E212"/>
  <c r="K63" i="15"/>
  <c r="L63"/>
  <c r="M63"/>
  <c r="N63"/>
  <c r="P63"/>
  <c r="N82" i="16"/>
  <c r="B25" i="26"/>
  <c r="H25" s="1"/>
  <c r="B58" i="15"/>
  <c r="B66"/>
  <c r="O46"/>
  <c r="J246" i="20"/>
  <c r="K246"/>
  <c r="L246"/>
  <c r="M246"/>
  <c r="N246"/>
  <c r="J213"/>
  <c r="L19" i="27"/>
  <c r="O65" i="16"/>
  <c r="B35" i="26"/>
  <c r="M82" i="16"/>
  <c r="N22" i="21"/>
  <c r="N27"/>
  <c r="K30"/>
  <c r="M27"/>
  <c r="K31"/>
  <c r="M22" i="13"/>
  <c r="L27"/>
  <c r="M16" i="11"/>
  <c r="O16"/>
  <c r="K32" i="16"/>
  <c r="G37"/>
  <c r="G39"/>
  <c r="G40"/>
  <c r="M90" i="20"/>
  <c r="L91"/>
  <c r="J85"/>
  <c r="J20" i="21"/>
  <c r="K25" i="15"/>
  <c r="L25"/>
  <c r="D16" i="27"/>
  <c r="D21"/>
  <c r="L15"/>
  <c r="J25" i="17"/>
  <c r="E28"/>
  <c r="E29"/>
  <c r="K14" i="21"/>
  <c r="N38" i="24"/>
  <c r="O38"/>
  <c r="B28" i="13"/>
  <c r="L8"/>
  <c r="N207" i="20"/>
  <c r="J212"/>
  <c r="L25" i="16"/>
  <c r="L18" i="24"/>
  <c r="M18"/>
  <c r="O18"/>
  <c r="M40"/>
  <c r="N39"/>
  <c r="O39"/>
  <c r="L61" i="15"/>
  <c r="M61"/>
  <c r="N61"/>
  <c r="P61"/>
  <c r="K78" i="16"/>
  <c r="K83"/>
  <c r="K85"/>
  <c r="F21" i="27"/>
  <c r="K156" i="20"/>
  <c r="M18" i="15"/>
  <c r="M21"/>
  <c r="N18"/>
  <c r="L27" i="16"/>
  <c r="K29"/>
  <c r="K18"/>
  <c r="L18"/>
  <c r="N18"/>
  <c r="E19"/>
  <c r="E38"/>
  <c r="E40"/>
  <c r="L15"/>
  <c r="N15"/>
  <c r="F165" i="20"/>
  <c r="F166"/>
  <c r="K163"/>
  <c r="L163"/>
  <c r="M163"/>
  <c r="N163"/>
  <c r="O163"/>
  <c r="J165"/>
  <c r="B101"/>
  <c r="L72"/>
  <c r="J36"/>
  <c r="E30"/>
  <c r="J30"/>
  <c r="K30"/>
  <c r="L30"/>
  <c r="M30"/>
  <c r="J29"/>
  <c r="K29"/>
  <c r="L29"/>
  <c r="M29"/>
  <c r="N29"/>
  <c r="N30"/>
  <c r="F65" i="15"/>
  <c r="F66"/>
  <c r="K60"/>
  <c r="E21" i="27"/>
  <c r="K34" i="16"/>
  <c r="L34"/>
  <c r="K30" i="11"/>
  <c r="M74" i="16"/>
  <c r="N74"/>
  <c r="L78"/>
  <c r="E83"/>
  <c r="E85"/>
  <c r="E86"/>
  <c r="E26" i="24"/>
  <c r="E33"/>
  <c r="K53" i="15"/>
  <c r="K68" i="16"/>
  <c r="K70"/>
  <c r="K27" i="21"/>
  <c r="N56" i="15"/>
  <c r="K203" i="20"/>
  <c r="H19" i="26"/>
  <c r="J27" i="21"/>
  <c r="N35" i="24"/>
  <c r="O35"/>
  <c r="N73" i="16"/>
  <c r="K65"/>
  <c r="E204" i="20"/>
  <c r="E205"/>
  <c r="E27" i="19"/>
  <c r="E28"/>
  <c r="N19" i="15"/>
  <c r="P19"/>
  <c r="E17" i="11"/>
  <c r="E21"/>
  <c r="E31"/>
  <c r="K15"/>
  <c r="L33" i="16"/>
  <c r="E150" i="20"/>
  <c r="E166"/>
  <c r="E177"/>
  <c r="J147"/>
  <c r="F100"/>
  <c r="F101"/>
  <c r="J93"/>
  <c r="K93"/>
  <c r="L93"/>
  <c r="M93"/>
  <c r="N93"/>
  <c r="N94"/>
  <c r="E94"/>
  <c r="J94"/>
  <c r="K94"/>
  <c r="L94"/>
  <c r="M94"/>
  <c r="K32"/>
  <c r="E36"/>
  <c r="L18"/>
  <c r="K21"/>
  <c r="F26" i="12"/>
  <c r="F27"/>
  <c r="K22"/>
  <c r="H27" i="26"/>
  <c r="L9" i="27"/>
  <c r="J96" i="20"/>
  <c r="E100"/>
  <c r="K34"/>
  <c r="L34"/>
  <c r="M34"/>
  <c r="N34"/>
  <c r="E16" i="13"/>
  <c r="E20"/>
  <c r="E28"/>
  <c r="K14"/>
  <c r="J19" i="19"/>
  <c r="E20"/>
  <c r="J25"/>
  <c r="J27"/>
  <c r="K25"/>
  <c r="L25"/>
  <c r="M25"/>
  <c r="N25"/>
  <c r="M24" i="24"/>
  <c r="O24"/>
  <c r="E21" i="20"/>
  <c r="L26" i="24"/>
  <c r="L15" i="12"/>
  <c r="M15"/>
  <c r="N15"/>
  <c r="O15"/>
  <c r="L17" i="16"/>
  <c r="N17"/>
  <c r="J33" i="20"/>
  <c r="K33"/>
  <c r="L33"/>
  <c r="M33"/>
  <c r="N33"/>
  <c r="E54" i="15"/>
  <c r="E58"/>
  <c r="E66"/>
  <c r="K52"/>
  <c r="K64"/>
  <c r="L64"/>
  <c r="M64"/>
  <c r="N64"/>
  <c r="L36" i="16"/>
  <c r="M22" i="24"/>
  <c r="O22"/>
  <c r="L17" i="27"/>
  <c r="M25" i="15"/>
  <c r="L26"/>
  <c r="L30"/>
  <c r="B36" i="26"/>
  <c r="P19" i="24"/>
  <c r="L16" i="19"/>
  <c r="K17"/>
  <c r="O23" i="24"/>
  <c r="O26"/>
  <c r="M26"/>
  <c r="O64" i="15"/>
  <c r="O65"/>
  <c r="O66"/>
  <c r="N34" i="16"/>
  <c r="M34"/>
  <c r="M36"/>
  <c r="N36"/>
  <c r="K19" i="19"/>
  <c r="J20"/>
  <c r="F177" i="20"/>
  <c r="L15" i="11"/>
  <c r="M15"/>
  <c r="O15"/>
  <c r="P18" i="15"/>
  <c r="P21"/>
  <c r="N21"/>
  <c r="K37" i="16"/>
  <c r="K39"/>
  <c r="L32"/>
  <c r="E43" i="24"/>
  <c r="O18" i="12"/>
  <c r="O19"/>
  <c r="H12" i="26"/>
  <c r="N19" i="12"/>
  <c r="M53" i="15"/>
  <c r="N53"/>
  <c r="P53"/>
  <c r="O161" i="20"/>
  <c r="O165"/>
  <c r="O166"/>
  <c r="N165"/>
  <c r="M18" i="21"/>
  <c r="L19"/>
  <c r="N243" i="20"/>
  <c r="K17" i="11"/>
  <c r="K21"/>
  <c r="K31"/>
  <c r="N28" i="24"/>
  <c r="M32"/>
  <c r="E252" i="20"/>
  <c r="E251"/>
  <c r="E253"/>
  <c r="E101"/>
  <c r="E112"/>
  <c r="M18"/>
  <c r="L21"/>
  <c r="P94"/>
  <c r="Q94"/>
  <c r="S94"/>
  <c r="K19" i="16"/>
  <c r="K38"/>
  <c r="K40"/>
  <c r="K65" i="15"/>
  <c r="J37" i="20"/>
  <c r="K25" i="17"/>
  <c r="J28"/>
  <c r="J29"/>
  <c r="K32" i="21"/>
  <c r="I10" i="26"/>
  <c r="M36" i="24"/>
  <c r="K42"/>
  <c r="L19"/>
  <c r="J21" i="19"/>
  <c r="J28"/>
  <c r="L201" i="20"/>
  <c r="M198"/>
  <c r="L17" i="11"/>
  <c r="L21"/>
  <c r="L31"/>
  <c r="K33" i="24"/>
  <c r="N15" i="19"/>
  <c r="L16" i="12"/>
  <c r="L20"/>
  <c r="M14"/>
  <c r="L245" i="20"/>
  <c r="K248"/>
  <c r="K249"/>
  <c r="L14" i="13"/>
  <c r="K16"/>
  <c r="K20"/>
  <c r="K28"/>
  <c r="K96" i="20"/>
  <c r="J100"/>
  <c r="J101"/>
  <c r="K26" i="12"/>
  <c r="K27"/>
  <c r="L22"/>
  <c r="E37" i="20"/>
  <c r="E48"/>
  <c r="N33" i="16"/>
  <c r="M33"/>
  <c r="E213" i="20"/>
  <c r="K204"/>
  <c r="K205"/>
  <c r="L203"/>
  <c r="L68" i="16"/>
  <c r="M78"/>
  <c r="M83"/>
  <c r="M85"/>
  <c r="N78"/>
  <c r="N83"/>
  <c r="L83"/>
  <c r="N90" i="20"/>
  <c r="N91"/>
  <c r="M91"/>
  <c r="M27" i="13"/>
  <c r="N22"/>
  <c r="N27"/>
  <c r="L210" i="20"/>
  <c r="K212"/>
  <c r="M26"/>
  <c r="L27"/>
  <c r="M75" i="16"/>
  <c r="M84"/>
  <c r="M86"/>
  <c r="L19"/>
  <c r="L38"/>
  <c r="M23" i="17"/>
  <c r="M24" i="11"/>
  <c r="L24"/>
  <c r="L30"/>
  <c r="H20" i="26"/>
  <c r="B21"/>
  <c r="N31" i="24"/>
  <c r="O31"/>
  <c r="N23" i="11"/>
  <c r="O23"/>
  <c r="M30"/>
  <c r="L34"/>
  <c r="M19" i="24"/>
  <c r="P18"/>
  <c r="K54" i="15"/>
  <c r="K58"/>
  <c r="L52"/>
  <c r="K36" i="20"/>
  <c r="L32"/>
  <c r="M32"/>
  <c r="N32"/>
  <c r="N36"/>
  <c r="K147"/>
  <c r="J150"/>
  <c r="J166"/>
  <c r="K26" i="15"/>
  <c r="K30"/>
  <c r="L60"/>
  <c r="K84" i="16"/>
  <c r="K86"/>
  <c r="N57" i="15"/>
  <c r="P56"/>
  <c r="P57"/>
  <c r="H9" i="26"/>
  <c r="P30" i="20"/>
  <c r="Q30"/>
  <c r="S30"/>
  <c r="M27" i="16"/>
  <c r="M29"/>
  <c r="M38"/>
  <c r="L29"/>
  <c r="O29"/>
  <c r="N27"/>
  <c r="N29"/>
  <c r="N40" i="24"/>
  <c r="O40"/>
  <c r="L14" i="21"/>
  <c r="K16"/>
  <c r="K20"/>
  <c r="K28"/>
  <c r="J28"/>
  <c r="L23" i="19"/>
  <c r="K27"/>
  <c r="M82" i="20"/>
  <c r="L85"/>
  <c r="K165"/>
  <c r="N72" i="16"/>
  <c r="N75"/>
  <c r="C35" i="26"/>
  <c r="N19" i="16"/>
  <c r="M14" i="11"/>
  <c r="L33" i="24"/>
  <c r="L43"/>
  <c r="K17" i="17"/>
  <c r="K21"/>
  <c r="L14"/>
  <c r="M14" i="21"/>
  <c r="L16"/>
  <c r="L20"/>
  <c r="L28"/>
  <c r="K37" i="20"/>
  <c r="L36"/>
  <c r="O24" i="11"/>
  <c r="O30"/>
  <c r="L33"/>
  <c r="L35"/>
  <c r="I6" i="26"/>
  <c r="N24" i="11"/>
  <c r="E43" i="16"/>
  <c r="L40"/>
  <c r="E42"/>
  <c r="E45"/>
  <c r="P25"/>
  <c r="K88"/>
  <c r="N85"/>
  <c r="K213" i="20"/>
  <c r="L10" i="26"/>
  <c r="M10"/>
  <c r="J10"/>
  <c r="K10" s="1"/>
  <c r="F112" i="20"/>
  <c r="N32" i="24"/>
  <c r="N33"/>
  <c r="P26"/>
  <c r="H5" i="26"/>
  <c r="L165" i="20"/>
  <c r="K166"/>
  <c r="L27" i="19"/>
  <c r="M23"/>
  <c r="M52" i="15"/>
  <c r="M54"/>
  <c r="M58"/>
  <c r="L54"/>
  <c r="L58"/>
  <c r="M210" i="20"/>
  <c r="L212"/>
  <c r="F48"/>
  <c r="K100"/>
  <c r="L96"/>
  <c r="M96"/>
  <c r="N96"/>
  <c r="N100"/>
  <c r="M245"/>
  <c r="L248"/>
  <c r="L249"/>
  <c r="N18" i="21"/>
  <c r="N19"/>
  <c r="H10" i="26"/>
  <c r="M19" i="21"/>
  <c r="D35" i="26"/>
  <c r="O14" i="11"/>
  <c r="O17"/>
  <c r="M17"/>
  <c r="M21"/>
  <c r="M40" i="16"/>
  <c r="K150" i="20"/>
  <c r="L147"/>
  <c r="K66" i="15"/>
  <c r="N30" i="11"/>
  <c r="N31"/>
  <c r="S91" i="20"/>
  <c r="P91"/>
  <c r="Q91"/>
  <c r="N68" i="16"/>
  <c r="N70"/>
  <c r="L70"/>
  <c r="L84"/>
  <c r="L26" i="12"/>
  <c r="L27"/>
  <c r="M22"/>
  <c r="N198" i="20"/>
  <c r="N201"/>
  <c r="M201"/>
  <c r="K43" i="24"/>
  <c r="L25" i="17"/>
  <c r="K28"/>
  <c r="K29"/>
  <c r="O28" i="24"/>
  <c r="O32"/>
  <c r="O75" i="16"/>
  <c r="M32"/>
  <c r="M37"/>
  <c r="M39"/>
  <c r="N32"/>
  <c r="N37"/>
  <c r="L37"/>
  <c r="L39"/>
  <c r="P64" i="15"/>
  <c r="M16" i="19"/>
  <c r="L17"/>
  <c r="L21"/>
  <c r="M14" i="17"/>
  <c r="L17"/>
  <c r="L21"/>
  <c r="O19" i="16"/>
  <c r="O38"/>
  <c r="N38"/>
  <c r="N82" i="20"/>
  <c r="N85"/>
  <c r="M85"/>
  <c r="L65" i="15"/>
  <c r="M60"/>
  <c r="P36" i="20"/>
  <c r="Q36"/>
  <c r="S36"/>
  <c r="N23" i="17"/>
  <c r="N28"/>
  <c r="N29"/>
  <c r="O23"/>
  <c r="N26" i="20"/>
  <c r="N27"/>
  <c r="M27"/>
  <c r="K31" i="13"/>
  <c r="K30"/>
  <c r="K32"/>
  <c r="I11" i="26"/>
  <c r="K89" i="16"/>
  <c r="O83"/>
  <c r="L85"/>
  <c r="L204" i="20"/>
  <c r="L205"/>
  <c r="M203"/>
  <c r="M14" i="13"/>
  <c r="L16"/>
  <c r="L20"/>
  <c r="L28"/>
  <c r="N14" i="12"/>
  <c r="M16"/>
  <c r="M20"/>
  <c r="N36" i="24"/>
  <c r="N42"/>
  <c r="N43"/>
  <c r="O36"/>
  <c r="O42"/>
  <c r="M42"/>
  <c r="N18" i="20"/>
  <c r="N21"/>
  <c r="M21"/>
  <c r="P32" i="24"/>
  <c r="M33"/>
  <c r="E46"/>
  <c r="Q165" i="20"/>
  <c r="P165"/>
  <c r="K20" i="19"/>
  <c r="K21"/>
  <c r="K28"/>
  <c r="L19"/>
  <c r="L20"/>
  <c r="N25" i="15"/>
  <c r="M26"/>
  <c r="M30"/>
  <c r="J6" i="26"/>
  <c r="K6"/>
  <c r="L6"/>
  <c r="M6"/>
  <c r="P21" i="20"/>
  <c r="Q21"/>
  <c r="S21"/>
  <c r="S37"/>
  <c r="M204"/>
  <c r="M205"/>
  <c r="M213"/>
  <c r="N203"/>
  <c r="N204"/>
  <c r="S27"/>
  <c r="P27"/>
  <c r="Q27"/>
  <c r="Q37"/>
  <c r="M65" i="15"/>
  <c r="M66"/>
  <c r="N60"/>
  <c r="K42" i="16"/>
  <c r="N39"/>
  <c r="N40"/>
  <c r="C36" i="26"/>
  <c r="O33" i="24"/>
  <c r="E45"/>
  <c r="E48"/>
  <c r="B5" i="26"/>
  <c r="E88" i="16"/>
  <c r="E91"/>
  <c r="B4" i="26"/>
  <c r="L86" i="16"/>
  <c r="E89"/>
  <c r="Q100" i="20"/>
  <c r="S100"/>
  <c r="N101"/>
  <c r="E103"/>
  <c r="P100"/>
  <c r="M16" i="21"/>
  <c r="M20"/>
  <c r="M28"/>
  <c r="N14"/>
  <c r="N16"/>
  <c r="O25" i="15"/>
  <c r="O26"/>
  <c r="O30"/>
  <c r="N26"/>
  <c r="M43" i="24"/>
  <c r="P42"/>
  <c r="K45"/>
  <c r="K46"/>
  <c r="N16" i="12"/>
  <c r="N20"/>
  <c r="O14"/>
  <c r="O16"/>
  <c r="L213" i="20"/>
  <c r="J11" i="26"/>
  <c r="K11" s="1"/>
  <c r="L11"/>
  <c r="M11" s="1"/>
  <c r="N16" i="19"/>
  <c r="M17"/>
  <c r="B40" i="26"/>
  <c r="D40"/>
  <c r="P201" i="20"/>
  <c r="H4" i="26"/>
  <c r="O70" i="16"/>
  <c r="O76"/>
  <c r="N84"/>
  <c r="N86"/>
  <c r="E34" i="11"/>
  <c r="M31"/>
  <c r="L100" i="20"/>
  <c r="K101"/>
  <c r="N210"/>
  <c r="N212"/>
  <c r="M212"/>
  <c r="N52" i="15"/>
  <c r="M165" i="20"/>
  <c r="L37"/>
  <c r="M36"/>
  <c r="M37"/>
  <c r="O43" i="24"/>
  <c r="N37" i="20"/>
  <c r="E39"/>
  <c r="L29" i="17"/>
  <c r="M25"/>
  <c r="L28"/>
  <c r="M26" i="12"/>
  <c r="M27"/>
  <c r="N22"/>
  <c r="M147" i="20"/>
  <c r="L150"/>
  <c r="L166"/>
  <c r="B37" i="26"/>
  <c r="O21" i="11"/>
  <c r="M27" i="19"/>
  <c r="N23"/>
  <c r="N27"/>
  <c r="M19"/>
  <c r="M16" i="13"/>
  <c r="M20"/>
  <c r="M28"/>
  <c r="N14"/>
  <c r="N16"/>
  <c r="P85" i="20"/>
  <c r="Q85"/>
  <c r="S85"/>
  <c r="S101"/>
  <c r="M17" i="17"/>
  <c r="M21"/>
  <c r="O14"/>
  <c r="O17"/>
  <c r="E35" i="26"/>
  <c r="F35" s="1"/>
  <c r="F38" s="1"/>
  <c r="N245" i="20"/>
  <c r="N248"/>
  <c r="O245"/>
  <c r="O248"/>
  <c r="O249"/>
  <c r="M248"/>
  <c r="M249"/>
  <c r="L66" i="15"/>
  <c r="L28" i="19"/>
  <c r="K91" i="16"/>
  <c r="I4" i="26"/>
  <c r="J4"/>
  <c r="L4"/>
  <c r="K4"/>
  <c r="N19" i="19"/>
  <c r="N20"/>
  <c r="H13" i="26"/>
  <c r="M20" i="19"/>
  <c r="M21"/>
  <c r="M28"/>
  <c r="O31" i="11"/>
  <c r="E33"/>
  <c r="E35"/>
  <c r="B6" i="26"/>
  <c r="N26" i="12"/>
  <c r="N27"/>
  <c r="O22"/>
  <c r="O26"/>
  <c r="N54" i="15"/>
  <c r="N58"/>
  <c r="N66"/>
  <c r="P52"/>
  <c r="P54"/>
  <c r="M100" i="20"/>
  <c r="M101"/>
  <c r="L101"/>
  <c r="N17" i="19"/>
  <c r="B42" i="26"/>
  <c r="D42" s="1"/>
  <c r="N20" i="21"/>
  <c r="E104" i="20"/>
  <c r="E114"/>
  <c r="F114"/>
  <c r="E113"/>
  <c r="K252"/>
  <c r="K251"/>
  <c r="K253"/>
  <c r="N249"/>
  <c r="K30" i="19"/>
  <c r="K31"/>
  <c r="D37" i="26"/>
  <c r="B38"/>
  <c r="E40" i="20"/>
  <c r="E50"/>
  <c r="F50"/>
  <c r="E49"/>
  <c r="E33" i="15"/>
  <c r="N30"/>
  <c r="C4" i="26"/>
  <c r="E4"/>
  <c r="K43" i="16"/>
  <c r="K45"/>
  <c r="B39" i="26"/>
  <c r="O21" i="17"/>
  <c r="B43" i="26"/>
  <c r="D43"/>
  <c r="N20" i="13"/>
  <c r="K215" i="20"/>
  <c r="K217"/>
  <c r="I8" i="26"/>
  <c r="P212" i="20"/>
  <c r="K216"/>
  <c r="K48" i="24"/>
  <c r="I5" i="26"/>
  <c r="Q101" i="20"/>
  <c r="E5" i="26"/>
  <c r="C5"/>
  <c r="D5"/>
  <c r="M150" i="20"/>
  <c r="N147"/>
  <c r="N150"/>
  <c r="O25" i="17"/>
  <c r="O28"/>
  <c r="K31"/>
  <c r="M28"/>
  <c r="K32"/>
  <c r="M166" i="20"/>
  <c r="E40" i="26"/>
  <c r="F40" s="1"/>
  <c r="B44"/>
  <c r="D44" s="1"/>
  <c r="O20" i="12"/>
  <c r="F29"/>
  <c r="P25" i="15"/>
  <c r="P26"/>
  <c r="C38" i="26"/>
  <c r="C47" s="1"/>
  <c r="D36"/>
  <c r="N65" i="15"/>
  <c r="L69"/>
  <c r="P60"/>
  <c r="P65"/>
  <c r="L68"/>
  <c r="L70"/>
  <c r="I9" i="26"/>
  <c r="H8"/>
  <c r="H14" s="1"/>
  <c r="P204" i="20"/>
  <c r="N205"/>
  <c r="L9" i="26"/>
  <c r="M9"/>
  <c r="J9"/>
  <c r="K9"/>
  <c r="E32" i="15"/>
  <c r="E34"/>
  <c r="B9" i="26"/>
  <c r="P30" i="15"/>
  <c r="P150" i="20"/>
  <c r="Q150"/>
  <c r="Q166"/>
  <c r="N166"/>
  <c r="L8" i="26"/>
  <c r="M8" s="1"/>
  <c r="J8"/>
  <c r="K8" s="1"/>
  <c r="O29" i="17"/>
  <c r="E31"/>
  <c r="F4" i="26"/>
  <c r="G4"/>
  <c r="F49" i="20"/>
  <c r="F51"/>
  <c r="F53"/>
  <c r="E51"/>
  <c r="E54"/>
  <c r="N21" i="19"/>
  <c r="B45" i="26"/>
  <c r="D45"/>
  <c r="E215" i="20"/>
  <c r="E217"/>
  <c r="B8" i="26"/>
  <c r="E216" i="20"/>
  <c r="N213"/>
  <c r="F30" i="12"/>
  <c r="F31"/>
  <c r="B12" i="26"/>
  <c r="J5"/>
  <c r="K5"/>
  <c r="L5"/>
  <c r="M5"/>
  <c r="D39"/>
  <c r="E30" i="21"/>
  <c r="N28"/>
  <c r="L30" i="12"/>
  <c r="O27"/>
  <c r="L29"/>
  <c r="E36" i="26"/>
  <c r="D38"/>
  <c r="M29" i="17"/>
  <c r="N28" i="13"/>
  <c r="E30"/>
  <c r="K32" i="19"/>
  <c r="I13" i="26"/>
  <c r="E105" i="20"/>
  <c r="T91"/>
  <c r="M4" i="26"/>
  <c r="K33" i="17"/>
  <c r="I7" i="26"/>
  <c r="F5"/>
  <c r="G5" s="1"/>
  <c r="E43"/>
  <c r="F43" s="1"/>
  <c r="D4"/>
  <c r="E41" i="20"/>
  <c r="T27"/>
  <c r="E37" i="26"/>
  <c r="E38" s="1"/>
  <c r="F37"/>
  <c r="F113" i="20"/>
  <c r="F115"/>
  <c r="F117"/>
  <c r="E115"/>
  <c r="E118"/>
  <c r="P58" i="15"/>
  <c r="B41" i="26"/>
  <c r="D41"/>
  <c r="F41" s="1"/>
  <c r="E6"/>
  <c r="C6"/>
  <c r="D6" s="1"/>
  <c r="E41"/>
  <c r="J7"/>
  <c r="L7"/>
  <c r="E39"/>
  <c r="F39" s="1"/>
  <c r="C12"/>
  <c r="D12" s="1"/>
  <c r="E12"/>
  <c r="C8"/>
  <c r="D8"/>
  <c r="E8"/>
  <c r="E32" i="17"/>
  <c r="E33"/>
  <c r="B7" i="26"/>
  <c r="C9"/>
  <c r="D9"/>
  <c r="E9"/>
  <c r="E68" i="15"/>
  <c r="P66"/>
  <c r="E31" i="13"/>
  <c r="E32"/>
  <c r="B11" i="26"/>
  <c r="E45"/>
  <c r="F45"/>
  <c r="E169" i="20"/>
  <c r="E179"/>
  <c r="F179"/>
  <c r="E168"/>
  <c r="J13" i="26"/>
  <c r="K13"/>
  <c r="L13"/>
  <c r="M13"/>
  <c r="L31" i="12"/>
  <c r="I12" i="26"/>
  <c r="E31" i="21"/>
  <c r="E32"/>
  <c r="B10" i="26"/>
  <c r="E30" i="19"/>
  <c r="N28"/>
  <c r="F6" i="26"/>
  <c r="G6"/>
  <c r="F36"/>
  <c r="B46"/>
  <c r="B47"/>
  <c r="E11"/>
  <c r="C11"/>
  <c r="D11" s="1"/>
  <c r="D10"/>
  <c r="C10"/>
  <c r="E10"/>
  <c r="E7"/>
  <c r="C7"/>
  <c r="F8"/>
  <c r="G8"/>
  <c r="L12"/>
  <c r="M12"/>
  <c r="J12"/>
  <c r="J14"/>
  <c r="K7"/>
  <c r="E31" i="19"/>
  <c r="E32"/>
  <c r="B13" i="26"/>
  <c r="E70" i="15"/>
  <c r="E69"/>
  <c r="I14" i="26"/>
  <c r="E178" i="20"/>
  <c r="E170"/>
  <c r="F9" i="26"/>
  <c r="G9" s="1"/>
  <c r="F12"/>
  <c r="G12" s="1"/>
  <c r="M7"/>
  <c r="L14"/>
  <c r="C13"/>
  <c r="D13" s="1"/>
  <c r="E13"/>
  <c r="B14"/>
  <c r="C14"/>
  <c r="F178" i="20"/>
  <c r="F180"/>
  <c r="F182"/>
  <c r="E180"/>
  <c r="E183"/>
  <c r="K12" i="26"/>
  <c r="F7"/>
  <c r="G7" s="1"/>
  <c r="E14"/>
  <c r="F10"/>
  <c r="G10"/>
  <c r="D7"/>
  <c r="F11"/>
  <c r="G11" s="1"/>
  <c r="F13"/>
  <c r="G13"/>
  <c r="F14"/>
  <c r="E31" l="1"/>
  <c r="H21"/>
  <c r="D14"/>
  <c r="L23" i="27"/>
  <c r="I22"/>
  <c r="E44" i="26"/>
  <c r="F44"/>
  <c r="E42"/>
  <c r="E46" s="1"/>
  <c r="F42"/>
  <c r="D46"/>
  <c r="D47" s="1"/>
  <c r="F46"/>
  <c r="G14"/>
  <c r="M14"/>
  <c r="L15" s="1"/>
  <c r="E47"/>
  <c r="K14"/>
  <c r="F47"/>
  <c r="F48" s="1"/>
  <c r="H30"/>
  <c r="H31" s="1"/>
  <c r="B30"/>
  <c r="B31" s="1"/>
  <c r="D30"/>
  <c r="D31" s="1"/>
</calcChain>
</file>

<file path=xl/sharedStrings.xml><?xml version="1.0" encoding="utf-8"?>
<sst xmlns="http://schemas.openxmlformats.org/spreadsheetml/2006/main" count="1160" uniqueCount="288">
  <si>
    <t>уборщик служебных помещений.</t>
  </si>
  <si>
    <t>Заведующий библиотекой</t>
  </si>
  <si>
    <t>Учебно-вспомогательный персонал</t>
  </si>
  <si>
    <t>Заведующий хозяйством</t>
  </si>
  <si>
    <t>Обслуживающий персонал</t>
  </si>
  <si>
    <t>ВСЕГО</t>
  </si>
  <si>
    <t>итого фонд в месяц:</t>
  </si>
  <si>
    <t>ШТАТНОЕ РАСПИСАНИЕ</t>
  </si>
  <si>
    <t xml:space="preserve">наименование </t>
  </si>
  <si>
    <t>должности</t>
  </si>
  <si>
    <t>шт.ед.</t>
  </si>
  <si>
    <t>оклад</t>
  </si>
  <si>
    <t>гардеробщик</t>
  </si>
  <si>
    <t>кочегар</t>
  </si>
  <si>
    <t>сторож</t>
  </si>
  <si>
    <t>итого</t>
  </si>
  <si>
    <t>ночные</t>
  </si>
  <si>
    <t>празд</t>
  </si>
  <si>
    <t>Административный персонал</t>
  </si>
  <si>
    <t xml:space="preserve">Директор </t>
  </si>
  <si>
    <t>Зам директора по УВР</t>
  </si>
  <si>
    <t>Зам директора по ВР</t>
  </si>
  <si>
    <t>Педагогический персонал</t>
  </si>
  <si>
    <t>Учителя</t>
  </si>
  <si>
    <t xml:space="preserve">ШТАТНОЕ РАСПИСАНИЕ </t>
  </si>
  <si>
    <t xml:space="preserve">Зам.-главного бухгалтера по  экономической                 </t>
  </si>
  <si>
    <t>сельские</t>
  </si>
  <si>
    <t>Заместитель директора по хозяйственной части</t>
  </si>
  <si>
    <t>итого ФОТ</t>
  </si>
  <si>
    <t>всего комп. часть</t>
  </si>
  <si>
    <t>праздн</t>
  </si>
  <si>
    <t>сев 80%</t>
  </si>
  <si>
    <t>итого ФОТ в месяц:</t>
  </si>
  <si>
    <t>ВСЕГО:</t>
  </si>
  <si>
    <t>Завхоз</t>
  </si>
  <si>
    <t>Гардеробщик</t>
  </si>
  <si>
    <t>Уборщик служебных помещений.</t>
  </si>
  <si>
    <t>Водитель автобуса</t>
  </si>
  <si>
    <t>Сторож</t>
  </si>
  <si>
    <t>Рабочий по ремонту и  обслуживанию здания</t>
  </si>
  <si>
    <t xml:space="preserve">ночные </t>
  </si>
  <si>
    <t>проверка тетрадей</t>
  </si>
  <si>
    <t>сельские 25%</t>
  </si>
  <si>
    <t>северные 80%</t>
  </si>
  <si>
    <t>Всего</t>
  </si>
  <si>
    <t>ИТОГО</t>
  </si>
  <si>
    <t>Итого ФОТ в месяц:</t>
  </si>
  <si>
    <t>Итого</t>
  </si>
  <si>
    <t xml:space="preserve">Всего </t>
  </si>
  <si>
    <t>итого компенсирующая часть  в месяц:</t>
  </si>
  <si>
    <t>итого стимулирующая часть в месяц:</t>
  </si>
  <si>
    <t>итого компенсационная часть  в месяц:</t>
  </si>
  <si>
    <t xml:space="preserve"> северные 80%</t>
  </si>
  <si>
    <t>Уборщик служебных помещений</t>
  </si>
  <si>
    <t>Кочегар</t>
  </si>
  <si>
    <t>инд.20%</t>
  </si>
  <si>
    <t>наименование должности</t>
  </si>
  <si>
    <t>инд. 20%</t>
  </si>
  <si>
    <t>рабочий по ремонту и  обслуживанию здани</t>
  </si>
  <si>
    <t>кл.рук</t>
  </si>
  <si>
    <t>уборщик служебных помещений</t>
  </si>
  <si>
    <t>Смеречинская Л.Н.</t>
  </si>
  <si>
    <t>работе МКУ "ЦБ образования" ТМР</t>
  </si>
  <si>
    <t>_______________ Смеречинская Л.Н.</t>
  </si>
  <si>
    <t xml:space="preserve">    ___________ Смеречинская Л.Н.</t>
  </si>
  <si>
    <t>_________</t>
  </si>
  <si>
    <t>___________</t>
  </si>
  <si>
    <t>________</t>
  </si>
  <si>
    <t>ставка</t>
  </si>
  <si>
    <t>размер оклада</t>
  </si>
  <si>
    <t>Размер оклада</t>
  </si>
  <si>
    <t>Сумма</t>
  </si>
  <si>
    <t>ОУ</t>
  </si>
  <si>
    <t xml:space="preserve">Терней </t>
  </si>
  <si>
    <t>Пластун</t>
  </si>
  <si>
    <t>Светлая</t>
  </si>
  <si>
    <t>М.Кема</t>
  </si>
  <si>
    <t>Амгу</t>
  </si>
  <si>
    <t>Максимовка</t>
  </si>
  <si>
    <t>У-Соболевка</t>
  </si>
  <si>
    <t>Перетычиха</t>
  </si>
  <si>
    <t>Самарга</t>
  </si>
  <si>
    <t xml:space="preserve">Агзу </t>
  </si>
  <si>
    <t>ФОТ месяц</t>
  </si>
  <si>
    <t>доплата до МРОТ</t>
  </si>
  <si>
    <t>Доплата по Указу ПР</t>
  </si>
  <si>
    <t xml:space="preserve">наименование должности </t>
  </si>
  <si>
    <t>итого компенсационный фонд в месяц:</t>
  </si>
  <si>
    <t>итого стимулирующий фонд  в месяц:</t>
  </si>
  <si>
    <t>Зам директора по безопасности</t>
  </si>
  <si>
    <t>итого стимулирующий фонд в месяц:</t>
  </si>
  <si>
    <t>Итого компенсационный фонд в месяц</t>
  </si>
  <si>
    <t>Итого стимулирующий фонд в месяц</t>
  </si>
  <si>
    <t>итого компенсационный фонд  в месяц:</t>
  </si>
  <si>
    <t>итого стимулирующий фонд в месяц :</t>
  </si>
  <si>
    <t>Субвенции</t>
  </si>
  <si>
    <t>компенсационный фонд</t>
  </si>
  <si>
    <t>итого компенсационный фонд</t>
  </si>
  <si>
    <t>АУ</t>
  </si>
  <si>
    <t>ПР</t>
  </si>
  <si>
    <t>вт.ч.учит</t>
  </si>
  <si>
    <t>УВС</t>
  </si>
  <si>
    <t>обслуживающий персонал</t>
  </si>
  <si>
    <t>Терней</t>
  </si>
  <si>
    <t>У-Собол</t>
  </si>
  <si>
    <t>Перет</t>
  </si>
  <si>
    <t>Агзу</t>
  </si>
  <si>
    <t>Зам директора по безопасности и охране труда</t>
  </si>
  <si>
    <t xml:space="preserve">Постановление АТМР №384 от 22.10.2014г. </t>
  </si>
  <si>
    <t>Унифицированная форма №Т-3               Утверждена Постановлением Госкомстата России от 05.01.2004 № 1</t>
  </si>
  <si>
    <t>Код</t>
  </si>
  <si>
    <t>Форма по ОКУД</t>
  </si>
  <si>
    <t>по ОКПО</t>
  </si>
  <si>
    <t>№ документа</t>
  </si>
  <si>
    <t>Дата составления</t>
  </si>
  <si>
    <t>УТВЕРЖДЕНО</t>
  </si>
  <si>
    <t xml:space="preserve">ШТАТНОЕ     РАСПИСАНИЕ </t>
  </si>
  <si>
    <t>Приказом № ____ от "___" _________201__г.</t>
  </si>
  <si>
    <t>Штат в количестве</t>
  </si>
  <si>
    <t>единицы</t>
  </si>
  <si>
    <t>"Согласовано"</t>
  </si>
  <si>
    <t>Начальник Управления образования АТМР</t>
  </si>
  <si>
    <t>_____________ Сулимова Н.Н.</t>
  </si>
  <si>
    <t>Директор __________ И.В. Зернова</t>
  </si>
  <si>
    <t>МКОУ СОШ п. Терней</t>
  </si>
  <si>
    <t>Директор __________ О.М. Симоненко</t>
  </si>
  <si>
    <t>МКОУ СОШ с.Амгу</t>
  </si>
  <si>
    <t>Директор __________ В.В. Шкарубо</t>
  </si>
  <si>
    <t>Директор __________ Н.И. Брюховецкая</t>
  </si>
  <si>
    <t>Директор __________ Е.Н. Беляева</t>
  </si>
  <si>
    <t>Директор __________ Н.И. Метеж</t>
  </si>
  <si>
    <t>Зам.директора-главного бухгалтера МКУ "ЦБ образования" ТМР   _________ Смеречинская Л.Н.</t>
  </si>
  <si>
    <t>комп</t>
  </si>
  <si>
    <t>база</t>
  </si>
  <si>
    <t>сти</t>
  </si>
  <si>
    <t>МКОУ СОШ с. Максимовка</t>
  </si>
  <si>
    <t>01.09.2015 года</t>
  </si>
  <si>
    <t>На период с 01 сентября 2015 года</t>
  </si>
  <si>
    <t xml:space="preserve">МКОУ  СОШ с.Амгу  с 01.09.2015 год. </t>
  </si>
  <si>
    <t>11.01.2016 года</t>
  </si>
  <si>
    <t>На период с 11 января 2016 года</t>
  </si>
  <si>
    <t>19.02.2016</t>
  </si>
  <si>
    <t>Унифицированная форма №Т-3                                                                      Утверждена Постановлением Госкомстата России от 05.01.2004 № 1</t>
  </si>
  <si>
    <t>доплата до мрот</t>
  </si>
  <si>
    <t xml:space="preserve">МКОУ  СОШ с.Амгу  с 25.01.2016 год. </t>
  </si>
  <si>
    <t>На период с 25 января 2016 года</t>
  </si>
  <si>
    <t xml:space="preserve">МКОУ  СОШ с.Амгу  с 11.01.2016 год. </t>
  </si>
  <si>
    <t>Постановление АТМР №384 от 22.10.2014г., ФЗ № 376 01.12.2015</t>
  </si>
  <si>
    <t>Доплата до МРОТ</t>
  </si>
  <si>
    <t xml:space="preserve"> МКУ "ЦБ образования" ТМР</t>
  </si>
  <si>
    <t>МКС 80%</t>
  </si>
  <si>
    <t>Итого:</t>
  </si>
  <si>
    <t>Иной персонал</t>
  </si>
  <si>
    <t>Бюджет ТМР</t>
  </si>
  <si>
    <t>ВСЕГО субвенции:</t>
  </si>
  <si>
    <t>ВСЕГО бюджет ТМР:</t>
  </si>
  <si>
    <t>Должность, разряд,класс,квалификация</t>
  </si>
  <si>
    <t>Кол-во шт.ед.</t>
  </si>
  <si>
    <t>Всего оклад</t>
  </si>
  <si>
    <t>Зам директора по безопасности дорожного движения</t>
  </si>
  <si>
    <t>Дворник</t>
  </si>
  <si>
    <t>Местный бюджет</t>
  </si>
  <si>
    <t>Унифицированная форма №Т-3                                      Утверждена Постановлением Госкомстата России от 05.01.2004 № 1</t>
  </si>
  <si>
    <t xml:space="preserve">Зам.-главного бухгалтера </t>
  </si>
  <si>
    <t xml:space="preserve">Зам.-главного бухгалтера                </t>
  </si>
  <si>
    <t xml:space="preserve">Зам-главного бухгалтера </t>
  </si>
  <si>
    <t>МКУ "ЦБ образования" ТМР</t>
  </si>
  <si>
    <t>ИНОЙ</t>
  </si>
  <si>
    <t xml:space="preserve">ФОТ год </t>
  </si>
  <si>
    <t>обслуж</t>
  </si>
  <si>
    <t>Полнокомплектные</t>
  </si>
  <si>
    <t>Малокомплектные</t>
  </si>
  <si>
    <t xml:space="preserve"> МКУ "ЦБ образования ТМР"</t>
  </si>
  <si>
    <t>И.о. директора __________ Заиграева С.А.</t>
  </si>
  <si>
    <t>МКС  80%</t>
  </si>
  <si>
    <t>Зам.директора-главного бухгалтера МКУ "ЦБ образования" ТМР</t>
  </si>
  <si>
    <t xml:space="preserve">должность </t>
  </si>
  <si>
    <t xml:space="preserve">И.о. директора __________О.В.Камандига </t>
  </si>
  <si>
    <t>должность</t>
  </si>
  <si>
    <t>И.о. директора __________ Анасьева И.А.</t>
  </si>
  <si>
    <t>Вакансия</t>
  </si>
  <si>
    <t>Приказом №___ от "___" __________ 2017 г.</t>
  </si>
  <si>
    <t>09.01.2018</t>
  </si>
  <si>
    <t>МРОТ</t>
  </si>
  <si>
    <t>Доплата ПР по Указу</t>
  </si>
  <si>
    <t>Зам директора по учебно-воспитательной работе</t>
  </si>
  <si>
    <t>Зам директора по воспитательной работе</t>
  </si>
  <si>
    <t>Учитель</t>
  </si>
  <si>
    <t>Заместитель директора по учебно-воспитательной работе</t>
  </si>
  <si>
    <t>Заместитель директора по воспитательной работе</t>
  </si>
  <si>
    <t>ВСЕГО субвенции</t>
  </si>
  <si>
    <t>Учитель 1 категории</t>
  </si>
  <si>
    <t>Заместитель директора директора по учебно-воспитательной работе</t>
  </si>
  <si>
    <t>Учитель высшей категории</t>
  </si>
  <si>
    <t>Всего субвенции</t>
  </si>
  <si>
    <t>Директор __________ Л.В. Солодун</t>
  </si>
  <si>
    <t>МБ</t>
  </si>
  <si>
    <t>водитель автобуса</t>
  </si>
  <si>
    <t>завхоз</t>
  </si>
  <si>
    <t>уборщик сл помещений</t>
  </si>
  <si>
    <t>Учителяь</t>
  </si>
  <si>
    <t>На период с 01 мая 2018 года</t>
  </si>
  <si>
    <t>Приказом №    от "___" _________ 2018 г.</t>
  </si>
  <si>
    <t>Приказом № ____ от "___" _________ 201__ г.</t>
  </si>
  <si>
    <t>рабочий</t>
  </si>
  <si>
    <t>S площадей</t>
  </si>
  <si>
    <t>норматив убираемых S, кв.м</t>
  </si>
  <si>
    <t>шт.ед по нормативу</t>
  </si>
  <si>
    <t>S площадей (данные статистики)</t>
  </si>
  <si>
    <t>завхоз с 01.09.2018</t>
  </si>
  <si>
    <t>всего действующие</t>
  </si>
  <si>
    <t>всего с 01.09.2018</t>
  </si>
  <si>
    <t>гардеробщик с 01.09.2018</t>
  </si>
  <si>
    <t>Кочегар с 01.10.2018</t>
  </si>
  <si>
    <t>рабочий с 01.09.2018</t>
  </si>
  <si>
    <t>сторож с 01.09.2018</t>
  </si>
  <si>
    <t>водитель автобуса с 01.09.2018</t>
  </si>
  <si>
    <t>уборщик с 01.09.2018г.</t>
  </si>
  <si>
    <t>31.08.2018</t>
  </si>
  <si>
    <t>На период с 01 сентября 2018 года</t>
  </si>
  <si>
    <t>Секретарь учебной части</t>
  </si>
  <si>
    <t>Лаборант</t>
  </si>
  <si>
    <t>Техник-программист</t>
  </si>
  <si>
    <t>итого субвенции</t>
  </si>
  <si>
    <t xml:space="preserve">Зам.-главного бухгалтера МКУ "ЦБ образования" ТМР </t>
  </si>
  <si>
    <t>итого местный бюджет</t>
  </si>
  <si>
    <t>Заместитель директора по административно-хозяйственной работе</t>
  </si>
  <si>
    <t>И.о. директора __________  О.Л.Золотухина</t>
  </si>
  <si>
    <t>Педагог-библиотекарь</t>
  </si>
  <si>
    <t>ФОТ</t>
  </si>
  <si>
    <t>повышающий коэфф</t>
  </si>
  <si>
    <t>базовый оклад</t>
  </si>
  <si>
    <t>оклад с коэфф</t>
  </si>
  <si>
    <t>повыш коэфф</t>
  </si>
  <si>
    <t>базовый оклад, руб</t>
  </si>
  <si>
    <t>окладс коэфф</t>
  </si>
  <si>
    <t>инд обуч</t>
  </si>
  <si>
    <t>27.03.2019г.</t>
  </si>
  <si>
    <t>На период с 15 апреля 2019 года</t>
  </si>
  <si>
    <t>Постановление АТМР от 08.02.2019 года №93</t>
  </si>
  <si>
    <t>СНЗК ДК</t>
  </si>
  <si>
    <t>потребность</t>
  </si>
  <si>
    <t>Рабочий по комплексному  обслуживанию и ремонту зданий</t>
  </si>
  <si>
    <t>Водитель автомобиля</t>
  </si>
  <si>
    <t>Приказом №    от "___" ________ 2019г.</t>
  </si>
  <si>
    <t>Машинист (кочегар) котельной</t>
  </si>
  <si>
    <t xml:space="preserve">сторож </t>
  </si>
  <si>
    <t xml:space="preserve">МКОУ СОШ с.Малая Кема </t>
  </si>
  <si>
    <t xml:space="preserve">МКОУ СОШ п. Светлая </t>
  </si>
  <si>
    <t xml:space="preserve">МКОУ СОШ п. Терней </t>
  </si>
  <si>
    <t xml:space="preserve">МКОУ СОШ с.Амгу </t>
  </si>
  <si>
    <t xml:space="preserve">Сторож </t>
  </si>
  <si>
    <t>рабочий по комплексному обслуживанию и ремонту зданий</t>
  </si>
  <si>
    <t>Приказом № __ от "___" __________ 2019г.</t>
  </si>
  <si>
    <t>повар детского питания</t>
  </si>
  <si>
    <t xml:space="preserve">МКОУ СОШ с. Максимовка </t>
  </si>
  <si>
    <t>Постановление АТМР от 14.02.2019 года №105</t>
  </si>
  <si>
    <t>Приказом № ___ от "___ " ___________ 201__ г.</t>
  </si>
  <si>
    <t xml:space="preserve">МКОУ СОШ с.Перетычиха </t>
  </si>
  <si>
    <t>Учитель-дефектолог</t>
  </si>
  <si>
    <t>Учитель-логопед</t>
  </si>
  <si>
    <t>Слесарь-сантехник</t>
  </si>
  <si>
    <t>Рабочий по комплексному обслуживанию и ремонту зданий</t>
  </si>
  <si>
    <t xml:space="preserve">МКОУ СОШ п. Пластун </t>
  </si>
  <si>
    <t xml:space="preserve">МКОУ ООШ с.Самарга </t>
  </si>
  <si>
    <t xml:space="preserve">МКОУ СОШ с. Агзу </t>
  </si>
  <si>
    <t xml:space="preserve">МКОУ СОШ с.Усть-Соболевка </t>
  </si>
  <si>
    <t>Повар детского питания</t>
  </si>
  <si>
    <t>Педагог-психолог</t>
  </si>
  <si>
    <t>штатная численность на 15.04.2019 года</t>
  </si>
  <si>
    <t>село</t>
  </si>
  <si>
    <t>город</t>
  </si>
  <si>
    <t>ФОТ ауп</t>
  </si>
  <si>
    <t>ФОТ иной</t>
  </si>
  <si>
    <t>стимул</t>
  </si>
  <si>
    <t>фот месяц</t>
  </si>
  <si>
    <t>Приказом №       от "____" ________ 2019г.</t>
  </si>
  <si>
    <t>30.08.2019</t>
  </si>
  <si>
    <t>На период с 01 сентября 2019 года</t>
  </si>
  <si>
    <t>На период с сентября 2019г.</t>
  </si>
  <si>
    <t>30.08.2019г.</t>
  </si>
  <si>
    <t>На период с 01 сентября 2019г.</t>
  </si>
  <si>
    <t>Приказ №114  от 30.08.2019г.</t>
  </si>
  <si>
    <t>3</t>
  </si>
  <si>
    <t>Приказ от 29.08.2019 года №96</t>
  </si>
  <si>
    <t>На период с 23 сентября 2019 года</t>
  </si>
  <si>
    <t>23.09.2019</t>
  </si>
  <si>
    <t>Приказом №32 от "30" августа 2019г.</t>
  </si>
</sst>
</file>

<file path=xl/styles.xml><?xml version="1.0" encoding="utf-8"?>
<styleSheet xmlns="http://schemas.openxmlformats.org/spreadsheetml/2006/main">
  <numFmts count="1">
    <numFmt numFmtId="188" formatCode="#,##0.000"/>
  </numFmts>
  <fonts count="3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u/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1"/>
      <name val="Arial Cyr"/>
      <charset val="204"/>
    </font>
    <font>
      <sz val="11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u/>
      <sz val="9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Times New Roman"/>
      <family val="1"/>
      <charset val="204"/>
    </font>
    <font>
      <b/>
      <i/>
      <sz val="8"/>
      <name val="Arial Cyr"/>
      <charset val="204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Font="1"/>
    <xf numFmtId="2" fontId="0" fillId="0" borderId="0" xfId="0" applyNumberFormat="1" applyFont="1"/>
    <xf numFmtId="2" fontId="0" fillId="2" borderId="1" xfId="0" applyNumberFormat="1" applyFill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8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2" fontId="0" fillId="2" borderId="2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Fill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2" fillId="0" borderId="1" xfId="0" applyNumberFormat="1" applyFont="1" applyBorder="1"/>
    <xf numFmtId="3" fontId="0" fillId="0" borderId="1" xfId="0" applyNumberFormat="1" applyBorder="1"/>
    <xf numFmtId="0" fontId="14" fillId="0" borderId="0" xfId="0" applyFont="1" applyFill="1" applyBorder="1"/>
    <xf numFmtId="0" fontId="14" fillId="0" borderId="0" xfId="0" applyFont="1"/>
    <xf numFmtId="2" fontId="6" fillId="0" borderId="0" xfId="0" applyNumberFormat="1" applyFont="1" applyBorder="1" applyAlignment="1">
      <alignment horizontal="center"/>
    </xf>
    <xf numFmtId="2" fontId="15" fillId="0" borderId="0" xfId="0" applyNumberFormat="1" applyFont="1"/>
    <xf numFmtId="0" fontId="15" fillId="0" borderId="0" xfId="0" applyFont="1"/>
    <xf numFmtId="2" fontId="15" fillId="0" borderId="1" xfId="0" applyNumberFormat="1" applyFont="1" applyBorder="1" applyAlignment="1">
      <alignment horizontal="center"/>
    </xf>
    <xf numFmtId="9" fontId="15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/>
    <xf numFmtId="2" fontId="12" fillId="0" borderId="0" xfId="0" applyNumberFormat="1" applyFont="1"/>
    <xf numFmtId="0" fontId="21" fillId="0" borderId="0" xfId="0" applyFont="1"/>
    <xf numFmtId="0" fontId="17" fillId="0" borderId="0" xfId="0" applyFont="1" applyAlignment="1">
      <alignment horizontal="center"/>
    </xf>
    <xf numFmtId="9" fontId="15" fillId="0" borderId="1" xfId="0" applyNumberFormat="1" applyFont="1" applyBorder="1" applyAlignment="1">
      <alignment horizontal="right" vertical="center"/>
    </xf>
    <xf numFmtId="9" fontId="1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6" fillId="2" borderId="1" xfId="0" applyFont="1" applyFill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15" fillId="0" borderId="1" xfId="0" applyFont="1" applyFill="1" applyBorder="1"/>
    <xf numFmtId="0" fontId="0" fillId="0" borderId="0" xfId="0" applyFill="1"/>
    <xf numFmtId="3" fontId="0" fillId="0" borderId="0" xfId="0" applyNumberFormat="1" applyBorder="1"/>
    <xf numFmtId="3" fontId="2" fillId="0" borderId="0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3" fontId="0" fillId="0" borderId="0" xfId="0" applyNumberFormat="1"/>
    <xf numFmtId="2" fontId="19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0" fillId="2" borderId="0" xfId="0" applyNumberForma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21" fillId="0" borderId="0" xfId="0" applyNumberFormat="1" applyFont="1"/>
    <xf numFmtId="2" fontId="21" fillId="0" borderId="0" xfId="0" applyNumberFormat="1" applyFont="1" applyBorder="1"/>
    <xf numFmtId="2" fontId="21" fillId="0" borderId="0" xfId="0" applyNumberFormat="1" applyFont="1" applyBorder="1" applyAlignment="1">
      <alignment vertical="center"/>
    </xf>
    <xf numFmtId="2" fontId="21" fillId="0" borderId="0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0" xfId="0" applyNumberFormat="1" applyFont="1" applyBorder="1" applyAlignment="1"/>
    <xf numFmtId="1" fontId="21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/>
    <xf numFmtId="2" fontId="21" fillId="0" borderId="1" xfId="0" applyNumberFormat="1" applyFont="1" applyBorder="1"/>
    <xf numFmtId="2" fontId="22" fillId="0" borderId="0" xfId="0" applyNumberFormat="1" applyFont="1" applyBorder="1" applyAlignment="1">
      <alignment horizontal="center" vertical="center"/>
    </xf>
    <xf numFmtId="2" fontId="23" fillId="0" borderId="0" xfId="0" applyNumberFormat="1" applyFont="1"/>
    <xf numFmtId="2" fontId="17" fillId="0" borderId="0" xfId="0" applyNumberFormat="1" applyFont="1" applyBorder="1" applyAlignment="1"/>
    <xf numFmtId="2" fontId="21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 applyFill="1" applyBorder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26" fillId="0" borderId="0" xfId="0" applyFont="1"/>
    <xf numFmtId="0" fontId="1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/>
    <xf numFmtId="0" fontId="27" fillId="0" borderId="0" xfId="0" applyFont="1"/>
    <xf numFmtId="2" fontId="27" fillId="0" borderId="0" xfId="0" applyNumberFormat="1" applyFont="1"/>
    <xf numFmtId="0" fontId="27" fillId="0" borderId="0" xfId="0" applyFont="1" applyFill="1" applyBorder="1"/>
    <xf numFmtId="2" fontId="21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11" fillId="0" borderId="0" xfId="0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/>
    <xf numFmtId="2" fontId="0" fillId="0" borderId="1" xfId="0" applyNumberFormat="1" applyFill="1" applyBorder="1"/>
    <xf numFmtId="2" fontId="17" fillId="0" borderId="5" xfId="0" applyNumberFormat="1" applyFont="1" applyBorder="1" applyAlignment="1"/>
    <xf numFmtId="2" fontId="12" fillId="0" borderId="0" xfId="0" applyNumberFormat="1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center" vertical="center"/>
    </xf>
    <xf numFmtId="2" fontId="21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2" fontId="2" fillId="2" borderId="0" xfId="0" applyNumberFormat="1" applyFont="1" applyFill="1" applyBorder="1" applyAlignment="1">
      <alignment horizontal="center"/>
    </xf>
    <xf numFmtId="2" fontId="21" fillId="0" borderId="0" xfId="1" applyNumberFormat="1" applyFont="1"/>
    <xf numFmtId="2" fontId="21" fillId="0" borderId="0" xfId="1" applyNumberFormat="1" applyFont="1" applyBorder="1"/>
    <xf numFmtId="2" fontId="21" fillId="0" borderId="0" xfId="1" applyNumberFormat="1" applyFont="1" applyBorder="1" applyAlignment="1">
      <alignment vertical="center"/>
    </xf>
    <xf numFmtId="2" fontId="12" fillId="0" borderId="0" xfId="1" applyNumberFormat="1" applyFont="1" applyBorder="1" applyAlignment="1">
      <alignment vertical="center" wrapText="1"/>
    </xf>
    <xf numFmtId="0" fontId="11" fillId="0" borderId="0" xfId="1"/>
    <xf numFmtId="2" fontId="21" fillId="0" borderId="0" xfId="1" applyNumberFormat="1" applyFont="1" applyBorder="1" applyAlignment="1">
      <alignment vertical="center" wrapText="1"/>
    </xf>
    <xf numFmtId="2" fontId="21" fillId="0" borderId="1" xfId="1" applyNumberFormat="1" applyFont="1" applyBorder="1" applyAlignment="1">
      <alignment horizontal="center" vertical="center" wrapText="1"/>
    </xf>
    <xf numFmtId="2" fontId="21" fillId="0" borderId="0" xfId="1" applyNumberFormat="1" applyFont="1" applyBorder="1" applyAlignment="1"/>
    <xf numFmtId="1" fontId="21" fillId="0" borderId="1" xfId="1" applyNumberFormat="1" applyFont="1" applyBorder="1" applyAlignment="1">
      <alignment horizontal="center" vertical="center"/>
    </xf>
    <xf numFmtId="2" fontId="12" fillId="0" borderId="0" xfId="1" applyNumberFormat="1" applyFont="1" applyBorder="1" applyAlignment="1">
      <alignment horizontal="right" vertical="center"/>
    </xf>
    <xf numFmtId="2" fontId="21" fillId="0" borderId="1" xfId="1" applyNumberFormat="1" applyFont="1" applyBorder="1" applyAlignment="1">
      <alignment horizontal="left" vertical="center"/>
    </xf>
    <xf numFmtId="2" fontId="15" fillId="0" borderId="1" xfId="1" applyNumberFormat="1" applyFont="1" applyBorder="1"/>
    <xf numFmtId="2" fontId="22" fillId="0" borderId="0" xfId="1" applyNumberFormat="1" applyFont="1" applyBorder="1" applyAlignment="1">
      <alignment horizontal="center" vertical="center"/>
    </xf>
    <xf numFmtId="2" fontId="23" fillId="0" borderId="0" xfId="1" applyNumberFormat="1" applyFont="1"/>
    <xf numFmtId="2" fontId="17" fillId="0" borderId="0" xfId="1" applyNumberFormat="1" applyFont="1" applyBorder="1" applyAlignment="1"/>
    <xf numFmtId="2" fontId="21" fillId="0" borderId="0" xfId="1" applyNumberFormat="1" applyFont="1" applyBorder="1" applyAlignment="1">
      <alignment horizontal="left"/>
    </xf>
    <xf numFmtId="0" fontId="11" fillId="0" borderId="0" xfId="1" applyAlignment="1">
      <alignment horizontal="left"/>
    </xf>
    <xf numFmtId="0" fontId="11" fillId="0" borderId="0" xfId="1" applyFont="1" applyBorder="1"/>
    <xf numFmtId="0" fontId="11" fillId="0" borderId="0" xfId="1" applyBorder="1"/>
    <xf numFmtId="0" fontId="11" fillId="0" borderId="3" xfId="1" applyBorder="1" applyAlignment="1">
      <alignment horizontal="center"/>
    </xf>
    <xf numFmtId="0" fontId="11" fillId="0" borderId="4" xfId="1" applyBorder="1" applyAlignment="1">
      <alignment horizontal="center" vertical="top"/>
    </xf>
    <xf numFmtId="9" fontId="3" fillId="0" borderId="1" xfId="1" applyNumberFormat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14" fillId="0" borderId="0" xfId="1" applyFont="1" applyFill="1" applyBorder="1"/>
    <xf numFmtId="0" fontId="14" fillId="0" borderId="0" xfId="1" applyFont="1"/>
    <xf numFmtId="0" fontId="11" fillId="0" borderId="0" xfId="1" applyFont="1"/>
    <xf numFmtId="2" fontId="11" fillId="0" borderId="0" xfId="1" applyNumberFormat="1" applyFont="1"/>
    <xf numFmtId="0" fontId="11" fillId="0" borderId="0" xfId="1" applyFill="1" applyBorder="1"/>
    <xf numFmtId="0" fontId="7" fillId="0" borderId="0" xfId="1" applyFont="1"/>
    <xf numFmtId="1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2" borderId="1" xfId="0" applyFont="1" applyFill="1" applyBorder="1"/>
    <xf numFmtId="2" fontId="0" fillId="2" borderId="5" xfId="0" applyNumberFormat="1" applyFill="1" applyBorder="1" applyAlignment="1">
      <alignment horizontal="center"/>
    </xf>
    <xf numFmtId="4" fontId="0" fillId="0" borderId="0" xfId="0" applyNumberFormat="1" applyFont="1"/>
    <xf numFmtId="4" fontId="0" fillId="2" borderId="0" xfId="0" applyNumberFormat="1" applyFill="1"/>
    <xf numFmtId="4" fontId="0" fillId="0" borderId="0" xfId="0" applyNumberFormat="1"/>
    <xf numFmtId="0" fontId="15" fillId="0" borderId="0" xfId="0" applyFont="1" applyBorder="1" applyAlignment="1">
      <alignment horizontal="center"/>
    </xf>
    <xf numFmtId="4" fontId="0" fillId="0" borderId="1" xfId="0" applyNumberFormat="1" applyBorder="1"/>
    <xf numFmtId="2" fontId="21" fillId="0" borderId="0" xfId="0" applyNumberFormat="1" applyFont="1" applyAlignment="1">
      <alignment horizontal="left" vertical="center"/>
    </xf>
    <xf numFmtId="2" fontId="21" fillId="0" borderId="0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2" fontId="15" fillId="0" borderId="0" xfId="0" applyNumberFormat="1" applyFont="1" applyBorder="1"/>
    <xf numFmtId="2" fontId="15" fillId="0" borderId="0" xfId="0" applyNumberFormat="1" applyFont="1" applyBorder="1" applyAlignment="1">
      <alignment vertical="center"/>
    </xf>
    <xf numFmtId="2" fontId="15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/>
    <xf numFmtId="1" fontId="15" fillId="0" borderId="1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left" vertical="center"/>
    </xf>
    <xf numFmtId="0" fontId="0" fillId="0" borderId="0" xfId="0" applyFont="1" applyFill="1"/>
    <xf numFmtId="2" fontId="15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Border="1" applyAlignment="1"/>
    <xf numFmtId="2" fontId="15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49" fontId="1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3" fillId="0" borderId="1" xfId="1" applyFont="1" applyFill="1" applyBorder="1"/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/>
    <xf numFmtId="2" fontId="0" fillId="0" borderId="0" xfId="0" applyNumberFormat="1" applyFill="1"/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4" fillId="0" borderId="0" xfId="0" applyFont="1" applyBorder="1" applyAlignment="1"/>
    <xf numFmtId="0" fontId="6" fillId="0" borderId="1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4" fillId="0" borderId="0" xfId="0" applyNumberFormat="1" applyFont="1"/>
    <xf numFmtId="2" fontId="23" fillId="0" borderId="1" xfId="0" applyNumberFormat="1" applyFont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4" fillId="0" borderId="0" xfId="0" applyNumberFormat="1" applyFont="1" applyAlignment="1"/>
    <xf numFmtId="0" fontId="5" fillId="0" borderId="1" xfId="1" applyFont="1" applyBorder="1" applyAlignment="1">
      <alignment horizontal="center"/>
    </xf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20" fillId="0" borderId="8" xfId="0" applyFont="1" applyBorder="1" applyAlignment="1"/>
    <xf numFmtId="0" fontId="18" fillId="0" borderId="0" xfId="0" applyFont="1"/>
    <xf numFmtId="0" fontId="15" fillId="0" borderId="0" xfId="0" applyFont="1" applyFill="1" applyBorder="1"/>
    <xf numFmtId="4" fontId="15" fillId="0" borderId="0" xfId="0" applyNumberFormat="1" applyFont="1"/>
    <xf numFmtId="2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5" fillId="3" borderId="1" xfId="1" applyFont="1" applyFill="1" applyBorder="1"/>
    <xf numFmtId="0" fontId="5" fillId="3" borderId="1" xfId="1" applyFont="1" applyFill="1" applyBorder="1" applyAlignment="1">
      <alignment horizontal="center"/>
    </xf>
    <xf numFmtId="4" fontId="5" fillId="3" borderId="1" xfId="1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4" fontId="11" fillId="0" borderId="0" xfId="1" applyNumberFormat="1" applyFont="1"/>
    <xf numFmtId="0" fontId="14" fillId="0" borderId="8" xfId="1" applyFont="1" applyBorder="1" applyAlignment="1"/>
    <xf numFmtId="4" fontId="11" fillId="0" borderId="1" xfId="0" applyNumberFormat="1" applyFont="1" applyBorder="1" applyAlignment="1">
      <alignment horizontal="center" vertical="center"/>
    </xf>
    <xf numFmtId="4" fontId="27" fillId="0" borderId="0" xfId="0" applyNumberFormat="1" applyFont="1"/>
    <xf numFmtId="4" fontId="15" fillId="0" borderId="1" xfId="0" applyNumberFormat="1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0" fillId="0" borderId="0" xfId="1" applyFont="1"/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/>
    </xf>
    <xf numFmtId="2" fontId="2" fillId="3" borderId="1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4" fontId="15" fillId="0" borderId="1" xfId="0" applyNumberFormat="1" applyFont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14" fillId="0" borderId="0" xfId="0" applyFont="1" applyBorder="1" applyAlignment="1">
      <alignment horizontal="right"/>
    </xf>
    <xf numFmtId="4" fontId="3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4" fillId="0" borderId="0" xfId="0" applyFont="1" applyAlignment="1">
      <alignment horizontal="right"/>
    </xf>
    <xf numFmtId="2" fontId="3" fillId="0" borderId="1" xfId="1" applyNumberFormat="1" applyFont="1" applyBorder="1" applyAlignment="1">
      <alignment horizontal="center" vertical="center"/>
    </xf>
    <xf numFmtId="0" fontId="14" fillId="0" borderId="0" xfId="1" applyFont="1" applyAlignment="1">
      <alignment horizontal="right"/>
    </xf>
    <xf numFmtId="2" fontId="32" fillId="0" borderId="0" xfId="1" applyNumberFormat="1" applyFont="1"/>
    <xf numFmtId="0" fontId="20" fillId="0" borderId="0" xfId="0" applyFont="1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12" fillId="0" borderId="0" xfId="0" applyNumberFormat="1" applyFont="1"/>
    <xf numFmtId="0" fontId="20" fillId="0" borderId="0" xfId="0" applyFont="1" applyBorder="1" applyAlignment="1">
      <alignment horizontal="right"/>
    </xf>
    <xf numFmtId="4" fontId="32" fillId="0" borderId="0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4" fontId="32" fillId="0" borderId="0" xfId="0" applyNumberFormat="1" applyFont="1"/>
    <xf numFmtId="4" fontId="2" fillId="0" borderId="0" xfId="0" applyNumberFormat="1" applyFont="1"/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wrapText="1"/>
    </xf>
    <xf numFmtId="2" fontId="20" fillId="0" borderId="0" xfId="0" applyNumberFormat="1" applyFont="1" applyAlignment="1">
      <alignment horizontal="right"/>
    </xf>
    <xf numFmtId="2" fontId="33" fillId="0" borderId="0" xfId="0" applyNumberFormat="1" applyFont="1"/>
    <xf numFmtId="4" fontId="0" fillId="3" borderId="0" xfId="0" applyNumberFormat="1" applyFill="1"/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/>
    <xf numFmtId="2" fontId="2" fillId="0" borderId="1" xfId="0" applyNumberFormat="1" applyFont="1" applyBorder="1"/>
    <xf numFmtId="4" fontId="13" fillId="2" borderId="2" xfId="0" applyNumberFormat="1" applyFont="1" applyFill="1" applyBorder="1" applyAlignment="1">
      <alignment horizontal="center"/>
    </xf>
    <xf numFmtId="2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4" borderId="1" xfId="0" applyFill="1" applyBorder="1"/>
    <xf numFmtId="0" fontId="0" fillId="5" borderId="1" xfId="0" applyFill="1" applyBorder="1"/>
    <xf numFmtId="2" fontId="0" fillId="5" borderId="1" xfId="0" applyNumberFormat="1" applyFill="1" applyBorder="1"/>
    <xf numFmtId="2" fontId="0" fillId="4" borderId="1" xfId="0" applyNumberFormat="1" applyFill="1" applyBorder="1"/>
    <xf numFmtId="0" fontId="2" fillId="4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0" fillId="4" borderId="0" xfId="0" applyFill="1" applyBorder="1"/>
    <xf numFmtId="0" fontId="6" fillId="0" borderId="10" xfId="0" applyFont="1" applyFill="1" applyBorder="1"/>
    <xf numFmtId="0" fontId="6" fillId="0" borderId="4" xfId="0" applyFont="1" applyBorder="1" applyAlignment="1">
      <alignment horizontal="center"/>
    </xf>
    <xf numFmtId="4" fontId="3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2" fontId="19" fillId="2" borderId="1" xfId="0" applyNumberFormat="1" applyFont="1" applyFill="1" applyBorder="1" applyAlignment="1">
      <alignment horizontal="center"/>
    </xf>
    <xf numFmtId="4" fontId="15" fillId="0" borderId="1" xfId="0" applyNumberFormat="1" applyFont="1" applyBorder="1"/>
    <xf numFmtId="4" fontId="19" fillId="3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5" fillId="0" borderId="0" xfId="0" applyFont="1" applyBorder="1"/>
    <xf numFmtId="2" fontId="20" fillId="0" borderId="0" xfId="0" applyNumberFormat="1" applyFont="1" applyBorder="1" applyAlignment="1">
      <alignment horizontal="right"/>
    </xf>
    <xf numFmtId="4" fontId="20" fillId="0" borderId="0" xfId="0" applyNumberFormat="1" applyFont="1"/>
    <xf numFmtId="0" fontId="12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2" fontId="17" fillId="0" borderId="5" xfId="1" applyNumberFormat="1" applyFont="1" applyBorder="1" applyAlignment="1"/>
    <xf numFmtId="0" fontId="1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 vertical="top"/>
    </xf>
    <xf numFmtId="9" fontId="18" fillId="0" borderId="1" xfId="1" applyNumberFormat="1" applyFont="1" applyBorder="1" applyAlignment="1">
      <alignment horizontal="center" vertical="center"/>
    </xf>
    <xf numFmtId="9" fontId="18" fillId="0" borderId="1" xfId="1" applyNumberFormat="1" applyFont="1" applyBorder="1" applyAlignment="1">
      <alignment horizontal="center" vertical="center" wrapText="1"/>
    </xf>
    <xf numFmtId="2" fontId="15" fillId="0" borderId="0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1" fillId="0" borderId="11" xfId="1" applyFont="1" applyBorder="1" applyAlignment="1"/>
    <xf numFmtId="0" fontId="15" fillId="0" borderId="11" xfId="0" applyFont="1" applyBorder="1" applyAlignment="1"/>
    <xf numFmtId="2" fontId="23" fillId="0" borderId="0" xfId="0" applyNumberFormat="1" applyFont="1" applyAlignment="1">
      <alignment vertical="center"/>
    </xf>
    <xf numFmtId="0" fontId="18" fillId="0" borderId="11" xfId="0" applyFont="1" applyBorder="1" applyAlignment="1"/>
    <xf numFmtId="2" fontId="17" fillId="0" borderId="5" xfId="0" applyNumberFormat="1" applyFont="1" applyBorder="1" applyAlignment="1">
      <alignment horizontal="center"/>
    </xf>
    <xf numFmtId="0" fontId="17" fillId="0" borderId="0" xfId="0" applyFont="1" applyAlignment="1"/>
    <xf numFmtId="2" fontId="12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4" fontId="33" fillId="0" borderId="0" xfId="0" applyNumberFormat="1" applyFont="1" applyAlignment="1">
      <alignment horizontal="center" vertical="center"/>
    </xf>
    <xf numFmtId="188" fontId="11" fillId="0" borderId="1" xfId="0" applyNumberFormat="1" applyFont="1" applyFill="1" applyBorder="1" applyAlignment="1">
      <alignment horizontal="center" wrapText="1"/>
    </xf>
    <xf numFmtId="0" fontId="0" fillId="0" borderId="11" xfId="0" applyBorder="1" applyAlignment="1"/>
    <xf numFmtId="0" fontId="35" fillId="0" borderId="0" xfId="0" applyFont="1"/>
    <xf numFmtId="0" fontId="2" fillId="3" borderId="1" xfId="0" applyFont="1" applyFill="1" applyBorder="1" applyAlignment="1">
      <alignment horizontal="right"/>
    </xf>
    <xf numFmtId="2" fontId="3" fillId="0" borderId="6" xfId="1" applyNumberFormat="1" applyFont="1" applyBorder="1" applyAlignment="1">
      <alignment horizontal="center" vertical="center"/>
    </xf>
    <xf numFmtId="0" fontId="3" fillId="0" borderId="11" xfId="0" applyFont="1" applyBorder="1" applyAlignment="1"/>
    <xf numFmtId="188" fontId="15" fillId="0" borderId="1" xfId="0" applyNumberFormat="1" applyFont="1" applyBorder="1" applyAlignment="1">
      <alignment horizontal="center" wrapText="1"/>
    </xf>
    <xf numFmtId="188" fontId="4" fillId="0" borderId="1" xfId="0" applyNumberFormat="1" applyFont="1" applyBorder="1" applyAlignment="1">
      <alignment horizontal="center" wrapText="1"/>
    </xf>
    <xf numFmtId="188" fontId="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2" fontId="12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6" fillId="0" borderId="0" xfId="0" applyNumberFormat="1" applyFont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left" vertical="center"/>
    </xf>
    <xf numFmtId="2" fontId="17" fillId="0" borderId="0" xfId="0" applyNumberFormat="1" applyFont="1" applyBorder="1" applyAlignment="1"/>
    <xf numFmtId="49" fontId="21" fillId="0" borderId="1" xfId="0" applyNumberFormat="1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2" fontId="2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21" fillId="0" borderId="0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1" fillId="0" borderId="0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left" vertical="center"/>
    </xf>
    <xf numFmtId="2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2" fontId="17" fillId="0" borderId="0" xfId="0" applyNumberFormat="1" applyFont="1" applyAlignment="1">
      <alignment horizontal="center" vertical="center"/>
    </xf>
    <xf numFmtId="2" fontId="15" fillId="0" borderId="0" xfId="0" applyNumberFormat="1" applyFont="1" applyFill="1" applyBorder="1" applyAlignment="1">
      <alignment horizontal="left" vertical="center"/>
    </xf>
    <xf numFmtId="2" fontId="19" fillId="0" borderId="0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14" fillId="0" borderId="8" xfId="1" applyFont="1" applyBorder="1" applyAlignment="1">
      <alignment horizontal="left" vertical="center"/>
    </xf>
    <xf numFmtId="2" fontId="23" fillId="0" borderId="0" xfId="1" applyNumberFormat="1" applyFont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/>
    </xf>
    <xf numFmtId="2" fontId="12" fillId="0" borderId="0" xfId="1" applyNumberFormat="1" applyFont="1" applyBorder="1" applyAlignment="1">
      <alignment horizontal="left" vertical="center" wrapText="1"/>
    </xf>
    <xf numFmtId="2" fontId="12" fillId="0" borderId="0" xfId="1" applyNumberFormat="1" applyFont="1" applyBorder="1" applyAlignment="1">
      <alignment horizontal="right"/>
    </xf>
    <xf numFmtId="2" fontId="12" fillId="0" borderId="5" xfId="1" applyNumberFormat="1" applyFont="1" applyBorder="1" applyAlignment="1">
      <alignment horizontal="right"/>
    </xf>
    <xf numFmtId="2" fontId="16" fillId="0" borderId="0" xfId="1" applyNumberFormat="1" applyFont="1" applyAlignment="1">
      <alignment horizontal="center" vertical="center"/>
    </xf>
    <xf numFmtId="2" fontId="15" fillId="0" borderId="1" xfId="1" applyNumberFormat="1" applyFont="1" applyBorder="1" applyAlignment="1">
      <alignment horizontal="center" vertical="center"/>
    </xf>
    <xf numFmtId="2" fontId="21" fillId="0" borderId="0" xfId="1" applyNumberFormat="1" applyFont="1" applyBorder="1" applyAlignment="1">
      <alignment horizontal="center" vertical="center"/>
    </xf>
    <xf numFmtId="2" fontId="17" fillId="0" borderId="0" xfId="1" applyNumberFormat="1" applyFont="1" applyBorder="1" applyAlignment="1"/>
    <xf numFmtId="49" fontId="21" fillId="0" borderId="1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17" fillId="0" borderId="0" xfId="1" applyNumberFormat="1" applyFont="1" applyAlignment="1"/>
    <xf numFmtId="2" fontId="17" fillId="0" borderId="5" xfId="1" applyNumberFormat="1" applyFont="1" applyBorder="1" applyAlignment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1" fillId="0" borderId="3" xfId="1" applyBorder="1" applyAlignment="1">
      <alignment horizontal="center" vertical="center"/>
    </xf>
    <xf numFmtId="0" fontId="11" fillId="0" borderId="4" xfId="1" applyBorder="1" applyAlignment="1">
      <alignment horizontal="center" vertical="center"/>
    </xf>
    <xf numFmtId="0" fontId="3" fillId="0" borderId="1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17" fillId="0" borderId="0" xfId="0" applyNumberFormat="1" applyFont="1" applyAlignment="1"/>
    <xf numFmtId="2" fontId="17" fillId="0" borderId="5" xfId="0" applyNumberFormat="1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23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/>
    </xf>
    <xf numFmtId="14" fontId="21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2" fontId="24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right"/>
    </xf>
    <xf numFmtId="2" fontId="21" fillId="0" borderId="5" xfId="0" applyNumberFormat="1" applyFont="1" applyBorder="1" applyAlignment="1">
      <alignment horizontal="right"/>
    </xf>
    <xf numFmtId="2" fontId="21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>
    <tabColor rgb="FFFF0000"/>
  </sheetPr>
  <dimension ref="A1:AE50"/>
  <sheetViews>
    <sheetView topLeftCell="A16" zoomScaleNormal="100" zoomScaleSheetLayoutView="100" workbookViewId="0">
      <pane xSplit="19725" topLeftCell="CT1"/>
      <selection activeCell="A30" sqref="A30"/>
      <selection pane="topRight" activeCell="CT1" sqref="CT1:CU65536"/>
    </sheetView>
  </sheetViews>
  <sheetFormatPr defaultRowHeight="12.75"/>
  <cols>
    <col min="1" max="1" width="16.7109375" customWidth="1"/>
    <col min="2" max="2" width="6.42578125" customWidth="1"/>
    <col min="3" max="4" width="6.85546875" customWidth="1"/>
    <col min="5" max="5" width="11.42578125" customWidth="1"/>
    <col min="6" max="6" width="8.140625" customWidth="1"/>
    <col min="7" max="7" width="9" customWidth="1"/>
    <col min="8" max="8" width="10.28515625" customWidth="1"/>
    <col min="9" max="9" width="8.85546875" customWidth="1"/>
    <col min="10" max="10" width="5.42578125" customWidth="1"/>
    <col min="11" max="11" width="10" customWidth="1"/>
    <col min="12" max="12" width="9.7109375" customWidth="1"/>
    <col min="13" max="13" width="10" customWidth="1"/>
    <col min="14" max="14" width="8.42578125" customWidth="1"/>
    <col min="15" max="15" width="16.28515625" customWidth="1"/>
    <col min="16" max="16" width="10.85546875" hidden="1" customWidth="1"/>
    <col min="17" max="17" width="10.42578125" hidden="1" customWidth="1"/>
    <col min="18" max="18" width="12.42578125" hidden="1" customWidth="1"/>
    <col min="19" max="19" width="9.85546875" customWidth="1"/>
    <col min="20" max="20" width="6.5703125" customWidth="1"/>
    <col min="21" max="22" width="6.42578125" customWidth="1"/>
    <col min="23" max="23" width="8.42578125" customWidth="1"/>
    <col min="24" max="25" width="9.28515625" customWidth="1"/>
    <col min="26" max="26" width="12.140625" customWidth="1"/>
    <col min="27" max="27" width="7.28515625" customWidth="1"/>
    <col min="28" max="28" width="6.7109375" customWidth="1"/>
    <col min="29" max="29" width="10" customWidth="1"/>
    <col min="30" max="30" width="9" customWidth="1"/>
    <col min="31" max="31" width="9.28515625" hidden="1" customWidth="1"/>
    <col min="32" max="32" width="14.140625" customWidth="1"/>
    <col min="33" max="33" width="6.140625" customWidth="1"/>
    <col min="34" max="35" width="7" customWidth="1"/>
    <col min="37" max="37" width="7" customWidth="1"/>
    <col min="38" max="38" width="6.42578125" customWidth="1"/>
    <col min="39" max="39" width="4.85546875" customWidth="1"/>
    <col min="40" max="40" width="8.7109375" customWidth="1"/>
    <col min="41" max="41" width="8.5703125" customWidth="1"/>
    <col min="42" max="42" width="9.5703125" customWidth="1"/>
    <col min="43" max="43" width="10.5703125" customWidth="1"/>
    <col min="44" max="44" width="7.85546875" customWidth="1"/>
    <col min="45" max="45" width="8.42578125" customWidth="1"/>
    <col min="46" max="46" width="10.140625" customWidth="1"/>
    <col min="47" max="47" width="12.85546875" customWidth="1"/>
    <col min="48" max="48" width="15.5703125" customWidth="1"/>
    <col min="49" max="49" width="6.140625" customWidth="1"/>
    <col min="50" max="50" width="7" customWidth="1"/>
    <col min="51" max="51" width="8.5703125" customWidth="1"/>
    <col min="52" max="52" width="9.5703125" customWidth="1"/>
    <col min="53" max="54" width="8.7109375" customWidth="1"/>
    <col min="55" max="55" width="7.42578125" customWidth="1"/>
    <col min="56" max="56" width="7.7109375" customWidth="1"/>
    <col min="57" max="57" width="9.85546875" customWidth="1"/>
    <col min="58" max="58" width="8.7109375" customWidth="1"/>
    <col min="59" max="59" width="10.5703125" customWidth="1"/>
    <col min="60" max="60" width="10" customWidth="1"/>
    <col min="61" max="61" width="7.7109375" customWidth="1"/>
    <col min="62" max="62" width="9.5703125" customWidth="1"/>
    <col min="63" max="63" width="10.42578125" customWidth="1"/>
    <col min="64" max="64" width="1.85546875" customWidth="1"/>
    <col min="65" max="65" width="3.42578125" customWidth="1"/>
    <col min="66" max="66" width="15.7109375" customWidth="1"/>
    <col min="67" max="67" width="6.140625" customWidth="1"/>
    <col min="68" max="68" width="6.7109375" customWidth="1"/>
    <col min="69" max="69" width="7.42578125" customWidth="1"/>
    <col min="71" max="71" width="7.85546875" customWidth="1"/>
    <col min="72" max="72" width="6.85546875" customWidth="1"/>
    <col min="73" max="73" width="7.140625" customWidth="1"/>
    <col min="74" max="74" width="7.42578125" customWidth="1"/>
    <col min="75" max="75" width="8.5703125" customWidth="1"/>
    <col min="77" max="77" width="9.85546875" customWidth="1"/>
    <col min="78" max="78" width="8" customWidth="1"/>
    <col min="79" max="79" width="7.5703125" customWidth="1"/>
    <col min="80" max="80" width="10.28515625" customWidth="1"/>
    <col min="81" max="81" width="10" customWidth="1"/>
    <col min="82" max="82" width="8.42578125" customWidth="1"/>
    <col min="83" max="83" width="15.5703125" customWidth="1"/>
    <col min="84" max="84" width="6" customWidth="1"/>
    <col min="85" max="85" width="6.85546875" customWidth="1"/>
    <col min="86" max="86" width="7.140625" customWidth="1"/>
    <col min="87" max="87" width="10.140625" customWidth="1"/>
    <col min="88" max="88" width="7.7109375" customWidth="1"/>
    <col min="89" max="89" width="6.5703125" customWidth="1"/>
    <col min="90" max="91" width="7.140625" customWidth="1"/>
    <col min="92" max="92" width="8.42578125" customWidth="1"/>
    <col min="93" max="93" width="9.28515625" bestFit="1" customWidth="1"/>
    <col min="94" max="94" width="10" customWidth="1"/>
    <col min="95" max="95" width="10.42578125" customWidth="1"/>
    <col min="96" max="96" width="9.85546875" bestFit="1" customWidth="1"/>
  </cols>
  <sheetData>
    <row r="1" spans="1:16" ht="15.75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109</v>
      </c>
      <c r="L1" s="449"/>
      <c r="M1" s="449"/>
    </row>
    <row r="2" spans="1:16" ht="15.75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449"/>
      <c r="L2" s="449"/>
      <c r="M2" s="449"/>
    </row>
    <row r="3" spans="1:16" ht="15.75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</row>
    <row r="4" spans="1:16" ht="15.75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</row>
    <row r="5" spans="1:16" ht="18.75">
      <c r="A5" s="113"/>
      <c r="B5" s="452" t="s">
        <v>263</v>
      </c>
      <c r="C5" s="452"/>
      <c r="D5" s="452"/>
      <c r="E5" s="452"/>
      <c r="F5" s="452"/>
      <c r="G5" s="452"/>
      <c r="H5" s="452"/>
      <c r="I5" s="452"/>
      <c r="J5" s="452"/>
      <c r="K5" s="115"/>
      <c r="L5" s="120" t="s">
        <v>112</v>
      </c>
      <c r="M5" s="121"/>
    </row>
    <row r="6" spans="1:16" ht="15.75">
      <c r="A6" s="113"/>
      <c r="B6" s="113"/>
      <c r="C6" s="113"/>
      <c r="D6" s="113"/>
      <c r="E6" s="122" t="s">
        <v>113</v>
      </c>
      <c r="F6" s="453" t="s">
        <v>114</v>
      </c>
      <c r="G6" s="453"/>
      <c r="H6" s="114"/>
      <c r="I6" s="114"/>
      <c r="J6" s="454" t="s">
        <v>115</v>
      </c>
      <c r="K6" s="454"/>
      <c r="L6" s="454"/>
      <c r="M6" s="454"/>
    </row>
    <row r="7" spans="1:16" ht="15.75">
      <c r="A7" s="455" t="s">
        <v>116</v>
      </c>
      <c r="B7" s="455"/>
      <c r="C7" s="455"/>
      <c r="D7" s="164"/>
      <c r="E7" s="335" t="s">
        <v>283</v>
      </c>
      <c r="F7" s="456" t="s">
        <v>277</v>
      </c>
      <c r="G7" s="456"/>
      <c r="H7" s="114"/>
      <c r="I7" s="114"/>
      <c r="J7" s="115" t="s">
        <v>276</v>
      </c>
      <c r="K7" s="115"/>
      <c r="L7" s="115"/>
      <c r="M7" s="115"/>
    </row>
    <row r="8" spans="1:16" ht="15.75">
      <c r="A8" s="462" t="s">
        <v>278</v>
      </c>
      <c r="B8" s="462"/>
      <c r="C8" s="462"/>
      <c r="D8" s="462"/>
      <c r="E8" s="462"/>
      <c r="F8" s="462"/>
      <c r="G8" s="462"/>
      <c r="H8" s="114"/>
      <c r="I8" s="114"/>
      <c r="J8" s="115" t="s">
        <v>118</v>
      </c>
      <c r="K8" s="115"/>
      <c r="L8" s="124">
        <f>B43</f>
        <v>86.63</v>
      </c>
      <c r="M8" s="115" t="s">
        <v>119</v>
      </c>
    </row>
    <row r="9" spans="1:16" ht="15.75">
      <c r="A9" s="465"/>
      <c r="B9" s="465"/>
      <c r="C9" s="465"/>
      <c r="D9" s="465"/>
      <c r="E9" s="465"/>
      <c r="F9" s="465"/>
      <c r="G9" s="465"/>
      <c r="H9" s="126"/>
      <c r="I9" s="126"/>
      <c r="J9" s="127" t="s">
        <v>195</v>
      </c>
      <c r="K9" s="127"/>
      <c r="L9" s="127"/>
      <c r="M9" s="127"/>
      <c r="N9" s="128"/>
    </row>
    <row r="10" spans="1:16" ht="15.75">
      <c r="A10" s="466" t="s">
        <v>284</v>
      </c>
      <c r="B10" s="466"/>
      <c r="C10" s="466"/>
      <c r="D10" s="466"/>
      <c r="E10" s="466"/>
      <c r="F10" s="466"/>
      <c r="G10" s="466"/>
      <c r="H10" s="443"/>
      <c r="I10" s="443"/>
      <c r="J10" s="443"/>
      <c r="K10" s="443"/>
      <c r="L10" s="443"/>
      <c r="M10" s="443"/>
      <c r="N10" s="31"/>
      <c r="O10" s="31"/>
    </row>
    <row r="11" spans="1:16" ht="45">
      <c r="A11" s="273" t="s">
        <v>156</v>
      </c>
      <c r="B11" s="274" t="s">
        <v>157</v>
      </c>
      <c r="C11" s="274" t="s">
        <v>234</v>
      </c>
      <c r="D11" s="274" t="s">
        <v>233</v>
      </c>
      <c r="E11" s="105" t="s">
        <v>158</v>
      </c>
      <c r="F11" s="12" t="s">
        <v>16</v>
      </c>
      <c r="G11" s="12" t="s">
        <v>30</v>
      </c>
      <c r="H11" s="12" t="s">
        <v>59</v>
      </c>
      <c r="I11" s="38" t="s">
        <v>41</v>
      </c>
      <c r="J11" s="12" t="s">
        <v>55</v>
      </c>
      <c r="K11" s="12" t="s">
        <v>47</v>
      </c>
      <c r="L11" s="12" t="s">
        <v>31</v>
      </c>
      <c r="M11" s="38" t="s">
        <v>29</v>
      </c>
      <c r="N11" s="334" t="s">
        <v>84</v>
      </c>
      <c r="O11" s="112" t="s">
        <v>44</v>
      </c>
      <c r="P11" s="35" t="s">
        <v>85</v>
      </c>
    </row>
    <row r="12" spans="1:16">
      <c r="A12" s="463" t="s">
        <v>18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</row>
    <row r="13" spans="1:16">
      <c r="A13" s="40" t="s">
        <v>19</v>
      </c>
      <c r="B13" s="41">
        <v>1</v>
      </c>
      <c r="C13" s="41">
        <v>22580</v>
      </c>
      <c r="D13" s="41"/>
      <c r="E13" s="357">
        <f t="shared" ref="E13:E18" si="0">C13*B13</f>
        <v>22580</v>
      </c>
      <c r="F13" s="358"/>
      <c r="G13" s="358"/>
      <c r="H13" s="358"/>
      <c r="I13" s="358"/>
      <c r="J13" s="358"/>
      <c r="K13" s="358">
        <f t="shared" ref="K13:K18" si="1">SUM(E13:J13)</f>
        <v>22580</v>
      </c>
      <c r="L13" s="358">
        <f t="shared" ref="L13:L18" si="2">K13*80%</f>
        <v>18064</v>
      </c>
      <c r="M13" s="358">
        <f t="shared" ref="M13:M18" si="3">SUM(K13:L13)</f>
        <v>40644</v>
      </c>
      <c r="N13" s="262"/>
      <c r="O13" s="359">
        <f t="shared" ref="O13:O18" si="4">M13+N13</f>
        <v>40644</v>
      </c>
    </row>
    <row r="14" spans="1:16" ht="45">
      <c r="A14" s="106" t="s">
        <v>185</v>
      </c>
      <c r="B14" s="105">
        <v>1</v>
      </c>
      <c r="C14" s="105">
        <v>20322</v>
      </c>
      <c r="D14" s="105"/>
      <c r="E14" s="360">
        <f t="shared" si="0"/>
        <v>20322</v>
      </c>
      <c r="F14" s="361"/>
      <c r="G14" s="361"/>
      <c r="H14" s="361"/>
      <c r="I14" s="361"/>
      <c r="J14" s="361"/>
      <c r="K14" s="361">
        <f t="shared" si="1"/>
        <v>20322</v>
      </c>
      <c r="L14" s="361">
        <f t="shared" si="2"/>
        <v>16257.6</v>
      </c>
      <c r="M14" s="361">
        <f t="shared" si="3"/>
        <v>36579.599999999999</v>
      </c>
      <c r="N14" s="265"/>
      <c r="O14" s="362">
        <f t="shared" si="4"/>
        <v>36579.599999999999</v>
      </c>
    </row>
    <row r="15" spans="1:16" ht="33.75">
      <c r="A15" s="106" t="s">
        <v>186</v>
      </c>
      <c r="B15" s="105">
        <v>1</v>
      </c>
      <c r="C15" s="105">
        <v>18064</v>
      </c>
      <c r="D15" s="105"/>
      <c r="E15" s="360">
        <f t="shared" si="0"/>
        <v>18064</v>
      </c>
      <c r="F15" s="361"/>
      <c r="G15" s="361"/>
      <c r="H15" s="361"/>
      <c r="I15" s="361"/>
      <c r="J15" s="361"/>
      <c r="K15" s="361">
        <f t="shared" si="1"/>
        <v>18064</v>
      </c>
      <c r="L15" s="361">
        <f t="shared" si="2"/>
        <v>14451.2</v>
      </c>
      <c r="M15" s="361">
        <f t="shared" si="3"/>
        <v>32515.200000000001</v>
      </c>
      <c r="N15" s="265"/>
      <c r="O15" s="362">
        <f t="shared" si="4"/>
        <v>32515.200000000001</v>
      </c>
    </row>
    <row r="16" spans="1:16" ht="33.75">
      <c r="A16" s="106" t="s">
        <v>107</v>
      </c>
      <c r="B16" s="105">
        <v>1</v>
      </c>
      <c r="C16" s="105">
        <v>15806</v>
      </c>
      <c r="D16" s="105"/>
      <c r="E16" s="360">
        <f t="shared" si="0"/>
        <v>15806</v>
      </c>
      <c r="F16" s="361"/>
      <c r="G16" s="361"/>
      <c r="H16" s="361"/>
      <c r="I16" s="361"/>
      <c r="J16" s="361"/>
      <c r="K16" s="361">
        <f t="shared" si="1"/>
        <v>15806</v>
      </c>
      <c r="L16" s="361">
        <f t="shared" si="2"/>
        <v>12644.800000000001</v>
      </c>
      <c r="M16" s="361">
        <f t="shared" si="3"/>
        <v>28450.800000000003</v>
      </c>
      <c r="N16" s="265"/>
      <c r="O16" s="362">
        <f t="shared" si="4"/>
        <v>28450.800000000003</v>
      </c>
    </row>
    <row r="17" spans="1:19" ht="33.75">
      <c r="A17" s="106" t="s">
        <v>159</v>
      </c>
      <c r="B17" s="105">
        <v>0.3</v>
      </c>
      <c r="C17" s="105">
        <v>15806</v>
      </c>
      <c r="D17" s="105"/>
      <c r="E17" s="360">
        <f t="shared" si="0"/>
        <v>4741.8</v>
      </c>
      <c r="F17" s="361"/>
      <c r="G17" s="361"/>
      <c r="H17" s="361"/>
      <c r="I17" s="361"/>
      <c r="J17" s="361"/>
      <c r="K17" s="361">
        <f t="shared" si="1"/>
        <v>4741.8</v>
      </c>
      <c r="L17" s="361">
        <f t="shared" si="2"/>
        <v>3793.4400000000005</v>
      </c>
      <c r="M17" s="361">
        <f t="shared" si="3"/>
        <v>8535.2400000000016</v>
      </c>
      <c r="N17" s="265"/>
      <c r="O17" s="362">
        <f t="shared" si="4"/>
        <v>8535.2400000000016</v>
      </c>
    </row>
    <row r="18" spans="1:19" ht="38.25" customHeight="1">
      <c r="A18" s="448" t="s">
        <v>27</v>
      </c>
      <c r="B18" s="39">
        <v>1</v>
      </c>
      <c r="C18" s="105">
        <v>15806</v>
      </c>
      <c r="D18" s="415"/>
      <c r="E18" s="363">
        <f t="shared" si="0"/>
        <v>15806</v>
      </c>
      <c r="F18" s="364"/>
      <c r="G18" s="364"/>
      <c r="H18" s="365"/>
      <c r="I18" s="365"/>
      <c r="J18" s="365"/>
      <c r="K18" s="365">
        <f t="shared" si="1"/>
        <v>15806</v>
      </c>
      <c r="L18" s="365">
        <f t="shared" si="2"/>
        <v>12644.800000000001</v>
      </c>
      <c r="M18" s="365">
        <f t="shared" si="3"/>
        <v>28450.800000000003</v>
      </c>
      <c r="N18" s="265"/>
      <c r="O18" s="366">
        <f t="shared" si="4"/>
        <v>28450.800000000003</v>
      </c>
      <c r="P18">
        <f>M19/70*30</f>
        <v>75075.274285714288</v>
      </c>
    </row>
    <row r="19" spans="1:19">
      <c r="A19" s="89" t="s">
        <v>15</v>
      </c>
      <c r="B19" s="97">
        <f>SUM(B13:B18)</f>
        <v>5.3</v>
      </c>
      <c r="C19" s="97"/>
      <c r="D19" s="97"/>
      <c r="E19" s="266">
        <f>SUM(E13:E18)</f>
        <v>97319.8</v>
      </c>
      <c r="F19" s="266"/>
      <c r="G19" s="266"/>
      <c r="H19" s="266"/>
      <c r="I19" s="266"/>
      <c r="J19" s="266"/>
      <c r="K19" s="266">
        <f>SUM(K13:K18)</f>
        <v>97319.8</v>
      </c>
      <c r="L19" s="266">
        <f>SUM(L13:L18)</f>
        <v>77855.840000000011</v>
      </c>
      <c r="M19" s="266">
        <f>SUM(M13:M18)</f>
        <v>175175.64</v>
      </c>
      <c r="N19" s="266"/>
      <c r="O19" s="266">
        <f>SUM(O13:O18)</f>
        <v>175175.64</v>
      </c>
      <c r="P19" s="111">
        <f>O19/70*30+O19</f>
        <v>250250.9142857143</v>
      </c>
    </row>
    <row r="20" spans="1:19">
      <c r="A20" s="464" t="s">
        <v>22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</row>
    <row r="21" spans="1:19">
      <c r="A21" s="42" t="s">
        <v>187</v>
      </c>
      <c r="B21" s="43">
        <v>51.83</v>
      </c>
      <c r="C21" s="43">
        <v>12600</v>
      </c>
      <c r="D21" s="43">
        <v>1.17</v>
      </c>
      <c r="E21" s="261">
        <f>B21*C21*D21</f>
        <v>764077.86</v>
      </c>
      <c r="F21" s="261"/>
      <c r="G21" s="261"/>
      <c r="H21" s="261">
        <v>52480</v>
      </c>
      <c r="I21" s="261">
        <v>44788.800000000003</v>
      </c>
      <c r="J21" s="261">
        <v>0</v>
      </c>
      <c r="K21" s="261">
        <f>SUM(E21:J21)</f>
        <v>861346.66</v>
      </c>
      <c r="L21" s="261">
        <f>K21*80%</f>
        <v>689077.3280000001</v>
      </c>
      <c r="M21" s="261">
        <f>SUM(K21:L21)</f>
        <v>1550423.9880000001</v>
      </c>
      <c r="N21" s="262"/>
      <c r="O21" s="267">
        <f>SUM(M21:M21)</f>
        <v>1550423.9880000001</v>
      </c>
    </row>
    <row r="22" spans="1:19">
      <c r="A22" s="42" t="s">
        <v>259</v>
      </c>
      <c r="B22" s="43">
        <v>0.5</v>
      </c>
      <c r="C22" s="43">
        <v>12600</v>
      </c>
      <c r="D22" s="43"/>
      <c r="E22" s="261">
        <f>B22*C22</f>
        <v>6300</v>
      </c>
      <c r="F22" s="261"/>
      <c r="G22" s="261"/>
      <c r="H22" s="261"/>
      <c r="I22" s="261"/>
      <c r="J22" s="261"/>
      <c r="K22" s="261">
        <f>SUM(E22:J22)</f>
        <v>6300</v>
      </c>
      <c r="L22" s="261">
        <f>K22*80%</f>
        <v>5040</v>
      </c>
      <c r="M22" s="261">
        <f>SUM(K22:L22)</f>
        <v>11340</v>
      </c>
      <c r="N22" s="262"/>
      <c r="O22" s="267">
        <f>SUM(M22:M22)</f>
        <v>11340</v>
      </c>
    </row>
    <row r="23" spans="1:19">
      <c r="A23" s="42" t="s">
        <v>260</v>
      </c>
      <c r="B23" s="43">
        <v>0.5</v>
      </c>
      <c r="C23" s="43">
        <v>12600</v>
      </c>
      <c r="D23" s="43"/>
      <c r="E23" s="261">
        <f>B23*C23</f>
        <v>6300</v>
      </c>
      <c r="F23" s="261"/>
      <c r="G23" s="261"/>
      <c r="H23" s="261"/>
      <c r="I23" s="261"/>
      <c r="J23" s="261"/>
      <c r="K23" s="261">
        <f>SUM(E23:J23)</f>
        <v>6300</v>
      </c>
      <c r="L23" s="261">
        <f>K23*80%</f>
        <v>5040</v>
      </c>
      <c r="M23" s="261">
        <f>SUM(K23:L23)</f>
        <v>11340</v>
      </c>
      <c r="N23" s="262"/>
      <c r="O23" s="267">
        <f>SUM(M23:M23)</f>
        <v>11340</v>
      </c>
    </row>
    <row r="24" spans="1:19" ht="22.5">
      <c r="A24" s="42" t="s">
        <v>228</v>
      </c>
      <c r="B24" s="12">
        <v>1</v>
      </c>
      <c r="C24" s="12">
        <v>12600</v>
      </c>
      <c r="D24" s="12"/>
      <c r="E24" s="261">
        <f>B24*C24</f>
        <v>12600</v>
      </c>
      <c r="F24" s="264"/>
      <c r="G24" s="264"/>
      <c r="H24" s="264"/>
      <c r="I24" s="264"/>
      <c r="J24" s="264"/>
      <c r="K24" s="264">
        <f>SUM(E24:J24)</f>
        <v>12600</v>
      </c>
      <c r="L24" s="264">
        <f>K24*80%+0.01</f>
        <v>10080.01</v>
      </c>
      <c r="M24" s="264">
        <f>SUM(K24:L24)</f>
        <v>22680.010000000002</v>
      </c>
      <c r="N24" s="265"/>
      <c r="O24" s="367">
        <f>SUM(M24:M24)</f>
        <v>22680.010000000002</v>
      </c>
    </row>
    <row r="25" spans="1:19">
      <c r="A25" s="42" t="s">
        <v>268</v>
      </c>
      <c r="B25" s="12">
        <v>1</v>
      </c>
      <c r="C25" s="12">
        <v>11850</v>
      </c>
      <c r="D25" s="12"/>
      <c r="E25" s="261">
        <f>B25*C25</f>
        <v>11850</v>
      </c>
      <c r="F25" s="264"/>
      <c r="G25" s="264"/>
      <c r="H25" s="264"/>
      <c r="I25" s="264"/>
      <c r="J25" s="264"/>
      <c r="K25" s="264">
        <f>SUM(E25:J25)</f>
        <v>11850</v>
      </c>
      <c r="L25" s="264">
        <f>K25*80%+0.01</f>
        <v>9480.01</v>
      </c>
      <c r="M25" s="264">
        <f>SUM(K25:L25)</f>
        <v>21330.010000000002</v>
      </c>
      <c r="N25" s="265"/>
      <c r="O25" s="367">
        <f>SUM(M25:M25)</f>
        <v>21330.010000000002</v>
      </c>
    </row>
    <row r="26" spans="1:19">
      <c r="A26" s="89" t="s">
        <v>15</v>
      </c>
      <c r="B26" s="266">
        <f>SUM(B21:B25)</f>
        <v>54.83</v>
      </c>
      <c r="C26" s="266"/>
      <c r="D26" s="266"/>
      <c r="E26" s="266">
        <f t="shared" ref="E26:O26" si="5">SUM(E21:E25)</f>
        <v>801127.86</v>
      </c>
      <c r="F26" s="266"/>
      <c r="G26" s="266"/>
      <c r="H26" s="266">
        <f t="shared" si="5"/>
        <v>52480</v>
      </c>
      <c r="I26" s="266">
        <f t="shared" si="5"/>
        <v>44788.800000000003</v>
      </c>
      <c r="J26" s="266"/>
      <c r="K26" s="266">
        <f t="shared" si="5"/>
        <v>898396.66</v>
      </c>
      <c r="L26" s="266">
        <f t="shared" si="5"/>
        <v>718717.34800000011</v>
      </c>
      <c r="M26" s="266">
        <f t="shared" si="5"/>
        <v>1617114.0080000001</v>
      </c>
      <c r="N26" s="266"/>
      <c r="O26" s="266">
        <f t="shared" si="5"/>
        <v>1617114.0080000001</v>
      </c>
      <c r="P26" s="9">
        <f>O26/70*30+O26</f>
        <v>2310162.8685714286</v>
      </c>
      <c r="Q26" s="222">
        <v>38056.800000000003</v>
      </c>
      <c r="R26" s="222">
        <f>Q26*43</f>
        <v>1636442.4000000001</v>
      </c>
      <c r="S26" s="222"/>
    </row>
    <row r="27" spans="1:19">
      <c r="A27" s="464" t="s">
        <v>2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9"/>
    </row>
    <row r="28" spans="1:19">
      <c r="A28" s="47" t="s">
        <v>220</v>
      </c>
      <c r="B28" s="43">
        <v>1</v>
      </c>
      <c r="C28" s="43">
        <v>6146</v>
      </c>
      <c r="D28" s="43"/>
      <c r="E28" s="262">
        <f>B28*C28</f>
        <v>6146</v>
      </c>
      <c r="F28" s="261"/>
      <c r="G28" s="261"/>
      <c r="H28" s="261"/>
      <c r="I28" s="261"/>
      <c r="J28" s="261"/>
      <c r="K28" s="262">
        <f>SUM(E28:J28)</f>
        <v>6146</v>
      </c>
      <c r="L28" s="262">
        <f>K28*80%</f>
        <v>4916.8</v>
      </c>
      <c r="M28" s="271">
        <f>SUM(K28:L28)</f>
        <v>11062.8</v>
      </c>
      <c r="N28" s="262">
        <f>N44*1.8*B28-(M28/70*30+M28)</f>
        <v>4500</v>
      </c>
      <c r="O28" s="267">
        <f>M28+N28</f>
        <v>15562.8</v>
      </c>
    </row>
    <row r="29" spans="1:19">
      <c r="A29" s="47" t="s">
        <v>222</v>
      </c>
      <c r="B29" s="43">
        <v>1.5</v>
      </c>
      <c r="C29" s="43">
        <v>6255</v>
      </c>
      <c r="D29" s="43"/>
      <c r="E29" s="262">
        <f>B29*C29</f>
        <v>9382.5</v>
      </c>
      <c r="F29" s="261"/>
      <c r="G29" s="261"/>
      <c r="H29" s="261"/>
      <c r="I29" s="261"/>
      <c r="J29" s="261"/>
      <c r="K29" s="262">
        <f>SUM(E29:J29)</f>
        <v>9382.5</v>
      </c>
      <c r="L29" s="262">
        <f>K29*80%</f>
        <v>7506</v>
      </c>
      <c r="M29" s="271">
        <f>SUM(K29:L29)</f>
        <v>16888.5</v>
      </c>
      <c r="N29" s="262">
        <f>N44*1.8*B29-(M29/70*30+M29)</f>
        <v>6329.5714285714275</v>
      </c>
      <c r="O29" s="267">
        <f>M29+N29</f>
        <v>23218.071428571428</v>
      </c>
    </row>
    <row r="30" spans="1:19">
      <c r="A30" s="47"/>
      <c r="B30" s="43"/>
      <c r="C30" s="43"/>
      <c r="D30" s="43"/>
      <c r="E30" s="262"/>
      <c r="F30" s="261"/>
      <c r="G30" s="261"/>
      <c r="H30" s="261"/>
      <c r="I30" s="261"/>
      <c r="J30" s="261"/>
      <c r="K30" s="262"/>
      <c r="L30" s="262"/>
      <c r="M30" s="271"/>
      <c r="N30" s="262"/>
      <c r="O30" s="267"/>
    </row>
    <row r="31" spans="1:19">
      <c r="A31" s="47" t="s">
        <v>221</v>
      </c>
      <c r="B31" s="43">
        <v>1</v>
      </c>
      <c r="C31" s="43">
        <v>6255</v>
      </c>
      <c r="D31" s="43"/>
      <c r="E31" s="262">
        <f>B31*C31</f>
        <v>6255</v>
      </c>
      <c r="F31" s="261"/>
      <c r="G31" s="261"/>
      <c r="H31" s="261"/>
      <c r="I31" s="261"/>
      <c r="J31" s="261"/>
      <c r="K31" s="262">
        <f>SUM(E31:J31)</f>
        <v>6255</v>
      </c>
      <c r="L31" s="262">
        <f>K31*80%</f>
        <v>5004</v>
      </c>
      <c r="M31" s="271">
        <f>SUM(K31:L31)</f>
        <v>11259</v>
      </c>
      <c r="N31" s="262">
        <f>N44*1.8*B31-(M31/70*30+M31)</f>
        <v>4219.7142857142862</v>
      </c>
      <c r="O31" s="267">
        <f>M31+N31</f>
        <v>15478.714285714286</v>
      </c>
    </row>
    <row r="32" spans="1:19">
      <c r="A32" s="92" t="s">
        <v>15</v>
      </c>
      <c r="B32" s="90">
        <f>SUM(B28:B31)</f>
        <v>3.5</v>
      </c>
      <c r="C32" s="90"/>
      <c r="D32" s="90"/>
      <c r="E32" s="266">
        <f>SUM(E28:E31)</f>
        <v>21783.5</v>
      </c>
      <c r="F32" s="266"/>
      <c r="G32" s="266"/>
      <c r="H32" s="266"/>
      <c r="I32" s="266"/>
      <c r="J32" s="266"/>
      <c r="K32" s="266">
        <f>SUM(K28:K31)</f>
        <v>21783.5</v>
      </c>
      <c r="L32" s="266">
        <f>SUM(L28:L31)</f>
        <v>17426.8</v>
      </c>
      <c r="M32" s="266">
        <f>SUM(M28:M31)</f>
        <v>39210.300000000003</v>
      </c>
      <c r="N32" s="266">
        <f>SUM(N28:N31)</f>
        <v>15049.285714285714</v>
      </c>
      <c r="O32" s="266">
        <f>SUM(O28:O31)</f>
        <v>54259.585714285713</v>
      </c>
      <c r="P32" s="111">
        <f>M32/70*30+M32+N32</f>
        <v>71064</v>
      </c>
    </row>
    <row r="33" spans="1:16">
      <c r="A33" s="94" t="s">
        <v>194</v>
      </c>
      <c r="B33" s="90">
        <f>B32+B26+B19</f>
        <v>63.629999999999995</v>
      </c>
      <c r="C33" s="90"/>
      <c r="D33" s="90"/>
      <c r="E33" s="266">
        <f>E32+E26+E19</f>
        <v>920231.16</v>
      </c>
      <c r="F33" s="266"/>
      <c r="G33" s="266"/>
      <c r="H33" s="266">
        <f t="shared" ref="H33:O33" si="6">H32+H26+H19</f>
        <v>52480</v>
      </c>
      <c r="I33" s="266">
        <f t="shared" si="6"/>
        <v>44788.800000000003</v>
      </c>
      <c r="J33" s="266">
        <f t="shared" si="6"/>
        <v>0</v>
      </c>
      <c r="K33" s="266">
        <f t="shared" si="6"/>
        <v>1017499.9600000001</v>
      </c>
      <c r="L33" s="266">
        <f t="shared" si="6"/>
        <v>813999.98800000013</v>
      </c>
      <c r="M33" s="266">
        <f t="shared" si="6"/>
        <v>1831499.9480000003</v>
      </c>
      <c r="N33" s="266">
        <f t="shared" si="6"/>
        <v>15049.285714285714</v>
      </c>
      <c r="O33" s="266">
        <f t="shared" si="6"/>
        <v>1846549.2337142858</v>
      </c>
      <c r="P33" s="111"/>
    </row>
    <row r="34" spans="1:16">
      <c r="A34" s="457" t="s">
        <v>4</v>
      </c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9"/>
      <c r="P34" s="277"/>
    </row>
    <row r="35" spans="1:16">
      <c r="A35" s="47" t="s">
        <v>243</v>
      </c>
      <c r="B35" s="43">
        <v>1</v>
      </c>
      <c r="C35" s="43">
        <v>6768</v>
      </c>
      <c r="D35" s="43"/>
      <c r="E35" s="261">
        <f t="shared" ref="E35:E41" si="7">C35*B35</f>
        <v>6768</v>
      </c>
      <c r="F35" s="261"/>
      <c r="G35" s="261"/>
      <c r="H35" s="261"/>
      <c r="I35" s="261"/>
      <c r="J35" s="261"/>
      <c r="K35" s="264">
        <f t="shared" ref="K35:K41" si="8">SUM(E35:J35)</f>
        <v>6768</v>
      </c>
      <c r="L35" s="264">
        <f>E35*80%</f>
        <v>5414.4000000000005</v>
      </c>
      <c r="M35" s="367">
        <f t="shared" ref="M35:M41" si="9">SUM(K35:L35)</f>
        <v>12182.400000000001</v>
      </c>
      <c r="N35" s="262">
        <f>N44*1.8*B35-(M35/70*30+M35)</f>
        <v>2900.5714285714275</v>
      </c>
      <c r="O35" s="367">
        <f t="shared" ref="O35:O41" si="10">M35+N35</f>
        <v>15082.971428571429</v>
      </c>
      <c r="P35" s="277"/>
    </row>
    <row r="36" spans="1:16">
      <c r="A36" s="40" t="s">
        <v>35</v>
      </c>
      <c r="B36" s="41">
        <v>1</v>
      </c>
      <c r="C36" s="41">
        <v>5253</v>
      </c>
      <c r="D36" s="41"/>
      <c r="E36" s="261">
        <f t="shared" si="7"/>
        <v>5253</v>
      </c>
      <c r="F36" s="357"/>
      <c r="G36" s="357"/>
      <c r="H36" s="357"/>
      <c r="I36" s="357"/>
      <c r="J36" s="357"/>
      <c r="K36" s="264">
        <f t="shared" si="8"/>
        <v>5253</v>
      </c>
      <c r="L36" s="264">
        <f>E36*80%</f>
        <v>4202.4000000000005</v>
      </c>
      <c r="M36" s="367">
        <f t="shared" si="9"/>
        <v>9455.4000000000015</v>
      </c>
      <c r="N36" s="262">
        <f>N44*1.8*B36-(M36/70*30+M36)</f>
        <v>6796.2857142857119</v>
      </c>
      <c r="O36" s="362">
        <f t="shared" si="10"/>
        <v>16251.685714285713</v>
      </c>
      <c r="P36" s="277"/>
    </row>
    <row r="37" spans="1:16" ht="22.5">
      <c r="A37" s="42" t="s">
        <v>53</v>
      </c>
      <c r="B37" s="12">
        <v>11</v>
      </c>
      <c r="C37" s="105">
        <v>5253</v>
      </c>
      <c r="D37" s="105"/>
      <c r="E37" s="264">
        <f t="shared" si="7"/>
        <v>57783</v>
      </c>
      <c r="F37" s="264"/>
      <c r="G37" s="264"/>
      <c r="H37" s="264"/>
      <c r="I37" s="264"/>
      <c r="J37" s="264"/>
      <c r="K37" s="264">
        <f t="shared" si="8"/>
        <v>57783</v>
      </c>
      <c r="L37" s="264">
        <f>E37*80%</f>
        <v>46226.400000000001</v>
      </c>
      <c r="M37" s="367">
        <f t="shared" si="9"/>
        <v>104009.4</v>
      </c>
      <c r="N37" s="265">
        <f>N44*1.8*B37-(M37/70*30+M37)</f>
        <v>74759.14285714287</v>
      </c>
      <c r="O37" s="362">
        <f t="shared" si="10"/>
        <v>178768.54285714286</v>
      </c>
      <c r="P37" s="277"/>
    </row>
    <row r="38" spans="1:16">
      <c r="A38" s="275" t="s">
        <v>160</v>
      </c>
      <c r="B38" s="12">
        <v>2</v>
      </c>
      <c r="C38" s="41">
        <v>5253</v>
      </c>
      <c r="D38" s="41"/>
      <c r="E38" s="264">
        <f t="shared" si="7"/>
        <v>10506</v>
      </c>
      <c r="F38" s="264"/>
      <c r="G38" s="264"/>
      <c r="H38" s="264"/>
      <c r="I38" s="264"/>
      <c r="J38" s="264"/>
      <c r="K38" s="264">
        <f t="shared" si="8"/>
        <v>10506</v>
      </c>
      <c r="L38" s="264">
        <f>(G38+F38+E38)*80%</f>
        <v>8404.8000000000011</v>
      </c>
      <c r="M38" s="367">
        <f t="shared" si="9"/>
        <v>18910.800000000003</v>
      </c>
      <c r="N38" s="262">
        <f>N44*1.8*B38-(M38/70*30+M38)</f>
        <v>13592.571428571424</v>
      </c>
      <c r="O38" s="367">
        <f t="shared" si="10"/>
        <v>32503.371428571427</v>
      </c>
      <c r="P38" s="277"/>
    </row>
    <row r="39" spans="1:16">
      <c r="A39" s="276" t="s">
        <v>261</v>
      </c>
      <c r="B39" s="12">
        <v>1</v>
      </c>
      <c r="C39" s="12">
        <v>6768</v>
      </c>
      <c r="D39" s="12"/>
      <c r="E39" s="264">
        <f t="shared" si="7"/>
        <v>6768</v>
      </c>
      <c r="F39" s="264"/>
      <c r="G39" s="264"/>
      <c r="H39" s="264"/>
      <c r="I39" s="264"/>
      <c r="J39" s="264"/>
      <c r="K39" s="264">
        <f t="shared" si="8"/>
        <v>6768</v>
      </c>
      <c r="L39" s="264">
        <f>(G39+F39+E39)*80%</f>
        <v>5414.4000000000005</v>
      </c>
      <c r="M39" s="367">
        <f t="shared" si="9"/>
        <v>12182.400000000001</v>
      </c>
      <c r="N39" s="262">
        <f>N44*1.8*B39-(M39/70*30+M39)</f>
        <v>2900.5714285714275</v>
      </c>
      <c r="O39" s="367">
        <f t="shared" si="10"/>
        <v>15082.971428571429</v>
      </c>
      <c r="P39" s="277"/>
    </row>
    <row r="40" spans="1:16">
      <c r="A40" s="47" t="s">
        <v>38</v>
      </c>
      <c r="B40" s="43">
        <v>6</v>
      </c>
      <c r="C40" s="43">
        <v>5253</v>
      </c>
      <c r="D40" s="43"/>
      <c r="E40" s="261">
        <f t="shared" si="7"/>
        <v>31518</v>
      </c>
      <c r="F40" s="261">
        <f>C40/165.5*61*35%*B40</f>
        <v>4065.9172205438067</v>
      </c>
      <c r="G40" s="261">
        <f>C40*12/1986*288/12*B40</f>
        <v>4570.5861027190331</v>
      </c>
      <c r="H40" s="261"/>
      <c r="I40" s="261"/>
      <c r="J40" s="261"/>
      <c r="K40" s="264">
        <f t="shared" si="8"/>
        <v>40154.503323262841</v>
      </c>
      <c r="L40" s="264">
        <f>K40*80%</f>
        <v>32123.602658610274</v>
      </c>
      <c r="M40" s="367">
        <f t="shared" si="9"/>
        <v>72278.105981873116</v>
      </c>
      <c r="N40" s="262">
        <f>N44*1.8*B40-(M40/70*30+M40)</f>
        <v>18569.562883038408</v>
      </c>
      <c r="O40" s="362">
        <f t="shared" si="10"/>
        <v>90847.668864911524</v>
      </c>
      <c r="P40" s="277"/>
    </row>
    <row r="41" spans="1:16" ht="45">
      <c r="A41" s="129" t="s">
        <v>262</v>
      </c>
      <c r="B41" s="12">
        <v>1</v>
      </c>
      <c r="C41" s="12">
        <v>5253</v>
      </c>
      <c r="D41" s="12"/>
      <c r="E41" s="264">
        <f t="shared" si="7"/>
        <v>5253</v>
      </c>
      <c r="F41" s="264"/>
      <c r="G41" s="264"/>
      <c r="H41" s="264"/>
      <c r="I41" s="264"/>
      <c r="J41" s="264"/>
      <c r="K41" s="264">
        <f t="shared" si="8"/>
        <v>5253</v>
      </c>
      <c r="L41" s="264">
        <f>(G41+F41+E41)*80%</f>
        <v>4202.4000000000005</v>
      </c>
      <c r="M41" s="367">
        <f t="shared" si="9"/>
        <v>9455.4000000000015</v>
      </c>
      <c r="N41" s="265">
        <f>N44*1.8*B41-(M41/70*30+M41)</f>
        <v>6796.2857142857119</v>
      </c>
      <c r="O41" s="367">
        <f t="shared" si="10"/>
        <v>16251.685714285713</v>
      </c>
      <c r="P41" s="277"/>
    </row>
    <row r="42" spans="1:16">
      <c r="A42" s="278" t="s">
        <v>47</v>
      </c>
      <c r="B42" s="279">
        <f>SUM(B35:B41)</f>
        <v>23</v>
      </c>
      <c r="C42" s="279"/>
      <c r="D42" s="279"/>
      <c r="E42" s="368">
        <f t="shared" ref="E42:O42" si="11">SUM(E35:E41)</f>
        <v>123849</v>
      </c>
      <c r="F42" s="368">
        <f t="shared" si="11"/>
        <v>4065.9172205438067</v>
      </c>
      <c r="G42" s="368">
        <f t="shared" si="11"/>
        <v>4570.5861027190331</v>
      </c>
      <c r="H42" s="368"/>
      <c r="I42" s="368"/>
      <c r="J42" s="368"/>
      <c r="K42" s="368">
        <f t="shared" si="11"/>
        <v>132485.50332326285</v>
      </c>
      <c r="L42" s="368">
        <f t="shared" si="11"/>
        <v>105988.40265861028</v>
      </c>
      <c r="M42" s="368">
        <f t="shared" si="11"/>
        <v>238473.9059818731</v>
      </c>
      <c r="N42" s="368">
        <f t="shared" si="11"/>
        <v>126314.99145446699</v>
      </c>
      <c r="O42" s="368">
        <f t="shared" si="11"/>
        <v>364788.89743634011</v>
      </c>
      <c r="P42" s="111">
        <f>M42/70*30+M42+N42</f>
        <v>466992</v>
      </c>
    </row>
    <row r="43" spans="1:16">
      <c r="A43" s="382" t="s">
        <v>5</v>
      </c>
      <c r="B43" s="383">
        <f>B42+B33</f>
        <v>86.63</v>
      </c>
      <c r="C43" s="383"/>
      <c r="D43" s="383"/>
      <c r="E43" s="359">
        <f t="shared" ref="E43:O43" si="12">E42+E33</f>
        <v>1044080.16</v>
      </c>
      <c r="F43" s="359">
        <f t="shared" si="12"/>
        <v>4065.9172205438067</v>
      </c>
      <c r="G43" s="359">
        <f t="shared" si="12"/>
        <v>4570.5861027190331</v>
      </c>
      <c r="H43" s="359">
        <f t="shared" si="12"/>
        <v>52480</v>
      </c>
      <c r="I43" s="359">
        <f t="shared" si="12"/>
        <v>44788.800000000003</v>
      </c>
      <c r="J43" s="359">
        <f t="shared" si="12"/>
        <v>0</v>
      </c>
      <c r="K43" s="359">
        <f t="shared" si="12"/>
        <v>1149985.463323263</v>
      </c>
      <c r="L43" s="359">
        <f t="shared" si="12"/>
        <v>919988.39065861038</v>
      </c>
      <c r="M43" s="359">
        <f t="shared" si="12"/>
        <v>2069973.8539818735</v>
      </c>
      <c r="N43" s="359">
        <f t="shared" si="12"/>
        <v>141364.27716875271</v>
      </c>
      <c r="O43" s="359">
        <f t="shared" si="12"/>
        <v>2211338.1311506256</v>
      </c>
      <c r="P43" s="9"/>
    </row>
    <row r="44" spans="1:16" ht="15">
      <c r="A44" s="131" t="s">
        <v>95</v>
      </c>
      <c r="B44" s="132"/>
      <c r="C44" s="132"/>
      <c r="D44" s="132"/>
      <c r="E44" s="133"/>
      <c r="F44" s="68"/>
      <c r="G44" s="460" t="s">
        <v>161</v>
      </c>
      <c r="H44" s="460"/>
      <c r="I44" s="460"/>
      <c r="J44" s="460"/>
      <c r="K44" s="460"/>
      <c r="L44" s="68"/>
      <c r="M44" s="67" t="s">
        <v>183</v>
      </c>
      <c r="N44" s="384">
        <v>11280</v>
      </c>
      <c r="O44" s="68"/>
      <c r="P44" s="272"/>
    </row>
    <row r="45" spans="1:16" ht="15">
      <c r="A45" s="130" t="s">
        <v>87</v>
      </c>
      <c r="B45" s="134"/>
      <c r="C45" s="134"/>
      <c r="D45" s="134"/>
      <c r="E45" s="220">
        <f>O33</f>
        <v>1846549.2337142858</v>
      </c>
      <c r="F45" s="32"/>
      <c r="G45" s="130" t="s">
        <v>87</v>
      </c>
      <c r="H45" s="32"/>
      <c r="I45" s="280"/>
      <c r="J45" s="280"/>
      <c r="K45" s="272">
        <f>M42+N42</f>
        <v>364788.89743634011</v>
      </c>
      <c r="L45" s="32"/>
      <c r="M45" s="32"/>
      <c r="N45" s="32"/>
      <c r="O45" s="32"/>
    </row>
    <row r="46" spans="1:16" ht="15">
      <c r="A46" s="130" t="s">
        <v>90</v>
      </c>
      <c r="B46" s="134"/>
      <c r="C46" s="134"/>
      <c r="D46" s="134"/>
      <c r="E46" s="220">
        <f>M33/70*30</f>
        <v>784928.54914285732</v>
      </c>
      <c r="F46" s="32"/>
      <c r="G46" s="130" t="s">
        <v>90</v>
      </c>
      <c r="H46" s="32"/>
      <c r="I46" s="280"/>
      <c r="J46" s="280"/>
      <c r="K46" s="272">
        <f>M42/70*30</f>
        <v>102203.10256365989</v>
      </c>
      <c r="L46" s="32"/>
      <c r="M46" s="32"/>
      <c r="N46" s="32"/>
      <c r="O46" s="32"/>
    </row>
    <row r="47" spans="1:16" ht="15" hidden="1">
      <c r="A47" s="130" t="s">
        <v>184</v>
      </c>
      <c r="B47" s="134"/>
      <c r="C47" s="134"/>
      <c r="D47" s="134"/>
      <c r="E47" s="220"/>
      <c r="F47" s="32"/>
      <c r="G47" s="130"/>
      <c r="H47" s="32"/>
      <c r="I47" s="280"/>
      <c r="J47" s="280"/>
      <c r="K47" s="272"/>
      <c r="L47" s="32"/>
      <c r="M47" s="32"/>
      <c r="N47" s="32"/>
      <c r="O47" s="32"/>
    </row>
    <row r="48" spans="1:16" ht="15">
      <c r="A48" s="130" t="s">
        <v>32</v>
      </c>
      <c r="B48" s="134"/>
      <c r="C48" s="134"/>
      <c r="D48" s="134"/>
      <c r="E48" s="220">
        <f>SUM(E45:E47)</f>
        <v>2631477.7828571433</v>
      </c>
      <c r="F48" s="32"/>
      <c r="G48" s="461" t="s">
        <v>32</v>
      </c>
      <c r="H48" s="461"/>
      <c r="I48" s="461"/>
      <c r="J48" s="461"/>
      <c r="K48" s="272">
        <f>SUM(K45:K46)</f>
        <v>466992</v>
      </c>
      <c r="L48" s="32"/>
      <c r="M48" s="32"/>
      <c r="N48" s="32"/>
      <c r="O48" s="32"/>
    </row>
    <row r="49" spans="1:15">
      <c r="A49" s="33"/>
      <c r="B49" s="33"/>
      <c r="C49" s="33"/>
      <c r="D49" s="33"/>
      <c r="E49" s="33"/>
      <c r="F49" s="33"/>
      <c r="G49" s="33"/>
      <c r="H49" s="33"/>
      <c r="I49" s="32"/>
      <c r="J49" s="32"/>
      <c r="K49" s="33"/>
      <c r="L49" s="33"/>
      <c r="M49" s="32"/>
      <c r="N49" s="33"/>
      <c r="O49" s="33"/>
    </row>
    <row r="50" spans="1:15" ht="15">
      <c r="A50" s="130" t="s">
        <v>131</v>
      </c>
    </row>
  </sheetData>
  <mergeCells count="16">
    <mergeCell ref="A34:O34"/>
    <mergeCell ref="G44:K44"/>
    <mergeCell ref="G48:J48"/>
    <mergeCell ref="A8:G8"/>
    <mergeCell ref="A12:O12"/>
    <mergeCell ref="A20:O20"/>
    <mergeCell ref="A27:O27"/>
    <mergeCell ref="A9:G9"/>
    <mergeCell ref="A10:G10"/>
    <mergeCell ref="K1:M2"/>
    <mergeCell ref="K4:L4"/>
    <mergeCell ref="B5:J5"/>
    <mergeCell ref="F6:G6"/>
    <mergeCell ref="J6:M6"/>
    <mergeCell ref="A7:C7"/>
    <mergeCell ref="F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6">
    <tabColor rgb="FFFF0000"/>
  </sheetPr>
  <dimension ref="A1:AD35"/>
  <sheetViews>
    <sheetView zoomScaleNormal="100" zoomScaleSheetLayoutView="100" workbookViewId="0">
      <selection activeCell="O23" sqref="O23"/>
    </sheetView>
  </sheetViews>
  <sheetFormatPr defaultRowHeight="12.75"/>
  <cols>
    <col min="1" max="1" width="24.5703125" customWidth="1"/>
    <col min="2" max="2" width="7.28515625" customWidth="1"/>
    <col min="3" max="4" width="8.28515625" customWidth="1"/>
    <col min="5" max="5" width="12.140625" customWidth="1"/>
    <col min="6" max="6" width="8.28515625" customWidth="1"/>
    <col min="7" max="7" width="10.28515625" customWidth="1"/>
    <col min="8" max="8" width="8.5703125" customWidth="1"/>
    <col min="9" max="9" width="10.28515625" customWidth="1"/>
    <col min="10" max="10" width="9.42578125" customWidth="1"/>
    <col min="11" max="11" width="11.85546875" customWidth="1"/>
    <col min="12" max="12" width="10.42578125" customWidth="1"/>
    <col min="13" max="13" width="11.42578125" customWidth="1"/>
    <col min="14" max="14" width="12.140625" customWidth="1"/>
    <col min="15" max="15" width="10.5703125" customWidth="1"/>
    <col min="16" max="16" width="12.140625" hidden="1" customWidth="1"/>
    <col min="17" max="17" width="9.28515625" customWidth="1"/>
    <col min="18" max="18" width="9.85546875" customWidth="1"/>
    <col min="19" max="19" width="6.5703125" customWidth="1"/>
    <col min="20" max="21" width="6.42578125" customWidth="1"/>
    <col min="22" max="22" width="8.42578125" customWidth="1"/>
    <col min="23" max="24" width="9.28515625" customWidth="1"/>
    <col min="25" max="25" width="12.140625" customWidth="1"/>
    <col min="26" max="26" width="7.28515625" customWidth="1"/>
    <col min="27" max="27" width="6.7109375" customWidth="1"/>
    <col min="28" max="28" width="10" customWidth="1"/>
    <col min="29" max="29" width="9" customWidth="1"/>
    <col min="30" max="30" width="9.28515625" hidden="1" customWidth="1"/>
    <col min="31" max="31" width="14.140625" customWidth="1"/>
    <col min="32" max="32" width="6.140625" customWidth="1"/>
    <col min="33" max="34" width="7" customWidth="1"/>
    <col min="36" max="36" width="7" customWidth="1"/>
    <col min="37" max="37" width="6.42578125" customWidth="1"/>
    <col min="38" max="38" width="4.85546875" customWidth="1"/>
    <col min="39" max="39" width="8.7109375" customWidth="1"/>
    <col min="40" max="40" width="8.5703125" customWidth="1"/>
    <col min="41" max="41" width="9.5703125" customWidth="1"/>
    <col min="42" max="42" width="10.5703125" customWidth="1"/>
    <col min="43" max="43" width="7.85546875" customWidth="1"/>
    <col min="44" max="44" width="8.42578125" customWidth="1"/>
    <col min="45" max="45" width="10.140625" customWidth="1"/>
    <col min="46" max="46" width="12.85546875" customWidth="1"/>
    <col min="47" max="47" width="15.5703125" customWidth="1"/>
    <col min="48" max="48" width="6.140625" customWidth="1"/>
    <col min="49" max="49" width="7" customWidth="1"/>
    <col min="50" max="50" width="8.5703125" customWidth="1"/>
    <col min="51" max="51" width="9.5703125" customWidth="1"/>
    <col min="52" max="53" width="8.7109375" customWidth="1"/>
    <col min="54" max="54" width="7.42578125" customWidth="1"/>
    <col min="55" max="55" width="7.7109375" customWidth="1"/>
    <col min="56" max="56" width="9.85546875" customWidth="1"/>
    <col min="57" max="57" width="8.7109375" customWidth="1"/>
    <col min="58" max="58" width="10.5703125" customWidth="1"/>
    <col min="59" max="59" width="10" customWidth="1"/>
    <col min="60" max="60" width="7.7109375" customWidth="1"/>
    <col min="61" max="61" width="9.5703125" customWidth="1"/>
    <col min="62" max="62" width="10.42578125" customWidth="1"/>
    <col min="63" max="63" width="1.85546875" customWidth="1"/>
    <col min="64" max="64" width="3.42578125" customWidth="1"/>
    <col min="65" max="65" width="15.7109375" customWidth="1"/>
    <col min="66" max="66" width="6.140625" customWidth="1"/>
    <col min="67" max="67" width="6.7109375" customWidth="1"/>
    <col min="68" max="68" width="7.42578125" customWidth="1"/>
    <col min="70" max="70" width="7.85546875" customWidth="1"/>
    <col min="71" max="71" width="6.85546875" customWidth="1"/>
    <col min="72" max="72" width="7.140625" customWidth="1"/>
    <col min="73" max="73" width="7.42578125" customWidth="1"/>
    <col min="74" max="74" width="8.5703125" customWidth="1"/>
    <col min="76" max="76" width="9.85546875" customWidth="1"/>
    <col min="77" max="77" width="8" customWidth="1"/>
    <col min="78" max="78" width="7.5703125" customWidth="1"/>
    <col min="79" max="79" width="10.28515625" customWidth="1"/>
    <col min="80" max="80" width="10" customWidth="1"/>
    <col min="81" max="81" width="8.42578125" customWidth="1"/>
    <col min="82" max="82" width="15.5703125" customWidth="1"/>
    <col min="83" max="83" width="6" customWidth="1"/>
    <col min="84" max="84" width="6.85546875" customWidth="1"/>
    <col min="85" max="85" width="7.140625" customWidth="1"/>
    <col min="86" max="86" width="10.140625" customWidth="1"/>
    <col min="87" max="87" width="7.7109375" customWidth="1"/>
    <col min="88" max="88" width="6.5703125" customWidth="1"/>
    <col min="89" max="90" width="7.140625" customWidth="1"/>
    <col min="91" max="91" width="8.42578125" customWidth="1"/>
    <col min="92" max="92" width="9.28515625" bestFit="1" customWidth="1"/>
    <col min="93" max="93" width="10" customWidth="1"/>
    <col min="94" max="94" width="7.28515625" customWidth="1"/>
    <col min="95" max="95" width="7.42578125" customWidth="1"/>
    <col min="96" max="96" width="10.42578125" customWidth="1"/>
    <col min="97" max="97" width="9.85546875" bestFit="1" customWidth="1"/>
  </cols>
  <sheetData>
    <row r="1" spans="1:15" ht="15.75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598" t="s">
        <v>109</v>
      </c>
      <c r="L1" s="598"/>
      <c r="M1" s="598"/>
      <c r="N1" s="598"/>
      <c r="O1" s="155"/>
    </row>
    <row r="2" spans="1:15" ht="15.75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598"/>
      <c r="L2" s="598"/>
      <c r="M2" s="598"/>
      <c r="N2" s="598"/>
      <c r="O2" s="155"/>
    </row>
    <row r="3" spans="1:15" ht="15.75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  <c r="N3" s="4"/>
      <c r="O3" s="155"/>
    </row>
    <row r="4" spans="1:15" ht="15.75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599" t="s">
        <v>111</v>
      </c>
      <c r="L4" s="600"/>
      <c r="M4" s="119">
        <v>301017</v>
      </c>
      <c r="N4" s="4"/>
      <c r="O4" s="155"/>
    </row>
    <row r="5" spans="1:15" ht="15.75">
      <c r="A5" s="113"/>
      <c r="B5" s="511" t="s">
        <v>266</v>
      </c>
      <c r="C5" s="511"/>
      <c r="D5" s="511"/>
      <c r="E5" s="511"/>
      <c r="F5" s="511"/>
      <c r="G5" s="511"/>
      <c r="H5" s="511"/>
      <c r="I5" s="511"/>
      <c r="J5" s="511"/>
      <c r="K5" s="115"/>
      <c r="L5" s="158" t="s">
        <v>112</v>
      </c>
      <c r="M5" s="121"/>
      <c r="N5" s="4"/>
      <c r="O5" s="155"/>
    </row>
    <row r="6" spans="1:15" ht="15.75">
      <c r="A6" s="113"/>
      <c r="B6" s="113"/>
      <c r="C6" s="113"/>
      <c r="D6" s="113"/>
      <c r="E6" s="123" t="s">
        <v>113</v>
      </c>
      <c r="F6" s="601" t="s">
        <v>114</v>
      </c>
      <c r="G6" s="601"/>
      <c r="H6" s="114"/>
      <c r="I6" s="114"/>
      <c r="J6" s="454" t="s">
        <v>115</v>
      </c>
      <c r="K6" s="454"/>
      <c r="L6" s="454"/>
      <c r="M6" s="454"/>
      <c r="N6" s="4"/>
      <c r="O6" s="155"/>
    </row>
    <row r="7" spans="1:15" ht="15.75">
      <c r="A7" s="455" t="s">
        <v>116</v>
      </c>
      <c r="B7" s="455"/>
      <c r="C7" s="455"/>
      <c r="D7" s="164"/>
      <c r="E7" s="119">
        <v>3</v>
      </c>
      <c r="F7" s="603">
        <v>43707</v>
      </c>
      <c r="G7" s="604"/>
      <c r="H7" s="114"/>
      <c r="I7" s="114"/>
      <c r="J7" s="115" t="s">
        <v>202</v>
      </c>
      <c r="K7" s="115"/>
      <c r="L7" s="115"/>
      <c r="M7" s="115"/>
      <c r="N7" s="4"/>
      <c r="O7" s="155"/>
    </row>
    <row r="8" spans="1:15" ht="15.75">
      <c r="A8" s="462" t="s">
        <v>278</v>
      </c>
      <c r="B8" s="462"/>
      <c r="C8" s="462"/>
      <c r="D8" s="462"/>
      <c r="E8" s="462"/>
      <c r="F8" s="462"/>
      <c r="G8" s="462"/>
      <c r="H8" s="114"/>
      <c r="I8" s="114"/>
      <c r="J8" s="115" t="s">
        <v>118</v>
      </c>
      <c r="K8" s="115"/>
      <c r="L8" s="124">
        <f>B28</f>
        <v>23.17</v>
      </c>
      <c r="M8" s="115" t="s">
        <v>119</v>
      </c>
      <c r="N8" s="4"/>
      <c r="O8" s="155"/>
    </row>
    <row r="9" spans="1:15" ht="15.75">
      <c r="A9" s="591" t="s">
        <v>282</v>
      </c>
      <c r="B9" s="591"/>
      <c r="C9" s="591"/>
      <c r="D9" s="591"/>
      <c r="E9" s="591"/>
      <c r="F9" s="591"/>
      <c r="G9" s="591"/>
      <c r="H9" s="126"/>
      <c r="I9" s="126"/>
      <c r="J9" s="127" t="s">
        <v>129</v>
      </c>
      <c r="K9" s="127"/>
      <c r="L9" s="127"/>
      <c r="M9" s="127"/>
      <c r="N9" s="159"/>
      <c r="O9" s="155"/>
    </row>
    <row r="10" spans="1:15" ht="15.75">
      <c r="A10" s="576"/>
      <c r="B10" s="576"/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160"/>
    </row>
    <row r="11" spans="1:15">
      <c r="A11" s="588" t="s">
        <v>86</v>
      </c>
      <c r="B11" s="589" t="s">
        <v>10</v>
      </c>
      <c r="C11" s="588" t="s">
        <v>69</v>
      </c>
      <c r="D11" s="592" t="s">
        <v>233</v>
      </c>
      <c r="E11" s="589" t="s">
        <v>11</v>
      </c>
      <c r="F11" s="589" t="s">
        <v>97</v>
      </c>
      <c r="G11" s="589"/>
      <c r="H11" s="589"/>
      <c r="I11" s="589"/>
      <c r="J11" s="589"/>
      <c r="K11" s="589"/>
      <c r="L11" s="589"/>
      <c r="M11" s="589"/>
      <c r="N11" s="590" t="s">
        <v>97</v>
      </c>
      <c r="O11" s="602" t="s">
        <v>143</v>
      </c>
    </row>
    <row r="12" spans="1:15" ht="25.5">
      <c r="A12" s="588"/>
      <c r="B12" s="589"/>
      <c r="C12" s="588"/>
      <c r="D12" s="593"/>
      <c r="E12" s="589"/>
      <c r="F12" s="141" t="s">
        <v>16</v>
      </c>
      <c r="G12" s="141" t="s">
        <v>30</v>
      </c>
      <c r="H12" s="141" t="s">
        <v>59</v>
      </c>
      <c r="I12" s="141" t="s">
        <v>41</v>
      </c>
      <c r="J12" s="141" t="s">
        <v>42</v>
      </c>
      <c r="K12" s="141" t="s">
        <v>45</v>
      </c>
      <c r="L12" s="13" t="s">
        <v>174</v>
      </c>
      <c r="M12" s="141" t="s">
        <v>44</v>
      </c>
      <c r="N12" s="590"/>
      <c r="O12" s="602"/>
    </row>
    <row r="13" spans="1:15">
      <c r="A13" s="585" t="s">
        <v>18</v>
      </c>
      <c r="B13" s="585"/>
      <c r="C13" s="585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217"/>
    </row>
    <row r="14" spans="1:15">
      <c r="A14" s="142" t="s">
        <v>19</v>
      </c>
      <c r="B14" s="143">
        <v>1</v>
      </c>
      <c r="C14" s="144">
        <v>17010</v>
      </c>
      <c r="D14" s="144"/>
      <c r="E14" s="328">
        <f>C14*B14</f>
        <v>17010</v>
      </c>
      <c r="F14" s="145"/>
      <c r="G14" s="145"/>
      <c r="H14" s="145"/>
      <c r="I14" s="145"/>
      <c r="J14" s="328">
        <f>E14*25%</f>
        <v>4252.5</v>
      </c>
      <c r="K14" s="328">
        <f>J14+E14</f>
        <v>21262.5</v>
      </c>
      <c r="L14" s="328">
        <f>K14*80%</f>
        <v>17010</v>
      </c>
      <c r="M14" s="328">
        <f>L14+K14</f>
        <v>38272.5</v>
      </c>
      <c r="N14" s="328">
        <f>M14</f>
        <v>38272.5</v>
      </c>
      <c r="O14" s="217"/>
    </row>
    <row r="15" spans="1:15" ht="38.25">
      <c r="A15" s="339" t="s">
        <v>188</v>
      </c>
      <c r="B15" s="140">
        <v>0.5</v>
      </c>
      <c r="C15" s="152">
        <v>15309</v>
      </c>
      <c r="D15" s="152"/>
      <c r="E15" s="311">
        <f>C15*B15</f>
        <v>7654.5</v>
      </c>
      <c r="F15" s="153"/>
      <c r="G15" s="153"/>
      <c r="H15" s="153"/>
      <c r="I15" s="153"/>
      <c r="J15" s="311">
        <f>E15*25%</f>
        <v>1913.625</v>
      </c>
      <c r="K15" s="311">
        <f>J15+E15</f>
        <v>9568.125</v>
      </c>
      <c r="L15" s="311">
        <f>K15*80%</f>
        <v>7654.5</v>
      </c>
      <c r="M15" s="311">
        <f>L15+K15</f>
        <v>17222.625</v>
      </c>
      <c r="N15" s="311">
        <f>M15</f>
        <v>17222.625</v>
      </c>
      <c r="O15" s="46"/>
    </row>
    <row r="16" spans="1:15">
      <c r="A16" s="22" t="s">
        <v>15</v>
      </c>
      <c r="B16" s="146">
        <f>SUM(B14:B15)</f>
        <v>1.5</v>
      </c>
      <c r="C16" s="147"/>
      <c r="D16" s="147"/>
      <c r="E16" s="329">
        <f>SUM(E14:E15)</f>
        <v>24664.5</v>
      </c>
      <c r="F16" s="148"/>
      <c r="G16" s="148"/>
      <c r="H16" s="148"/>
      <c r="I16" s="148"/>
      <c r="J16" s="329">
        <f>SUM(J14:J15)</f>
        <v>6166.125</v>
      </c>
      <c r="K16" s="329">
        <f>SUM(K14:K15)</f>
        <v>30830.625</v>
      </c>
      <c r="L16" s="329">
        <f>SUM(L14:L15)</f>
        <v>24664.5</v>
      </c>
      <c r="M16" s="329">
        <f>SUM(M14:M15)</f>
        <v>55495.125</v>
      </c>
      <c r="N16" s="329">
        <f>SUM(N14:N15)</f>
        <v>55495.125</v>
      </c>
      <c r="O16" s="218"/>
    </row>
    <row r="17" spans="1:15">
      <c r="A17" s="586" t="s">
        <v>22</v>
      </c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217"/>
    </row>
    <row r="18" spans="1:15">
      <c r="A18" s="339" t="s">
        <v>187</v>
      </c>
      <c r="B18" s="149">
        <v>13.67</v>
      </c>
      <c r="C18" s="332">
        <v>12600</v>
      </c>
      <c r="D18" s="438">
        <v>1.1499999999999999</v>
      </c>
      <c r="E18" s="330">
        <f>B18*C18*D18</f>
        <v>198078.3</v>
      </c>
      <c r="F18" s="330"/>
      <c r="G18" s="330"/>
      <c r="H18" s="330">
        <v>3857.14</v>
      </c>
      <c r="I18" s="330">
        <v>6473.26</v>
      </c>
      <c r="J18" s="330">
        <f>E18*25%</f>
        <v>49519.574999999997</v>
      </c>
      <c r="K18" s="331">
        <f>J18+I18+H18+E18</f>
        <v>257928.27499999999</v>
      </c>
      <c r="L18" s="331">
        <f>K18*80%</f>
        <v>206342.62</v>
      </c>
      <c r="M18" s="331">
        <f>L18+K18-0.01</f>
        <v>464270.88500000001</v>
      </c>
      <c r="N18" s="331">
        <f>M18</f>
        <v>464270.88500000001</v>
      </c>
      <c r="O18" s="46"/>
    </row>
    <row r="19" spans="1:15">
      <c r="A19" s="22" t="s">
        <v>15</v>
      </c>
      <c r="B19" s="148">
        <f>B18</f>
        <v>13.67</v>
      </c>
      <c r="C19" s="146"/>
      <c r="D19" s="146"/>
      <c r="E19" s="329">
        <f>E18</f>
        <v>198078.3</v>
      </c>
      <c r="F19" s="329"/>
      <c r="G19" s="329"/>
      <c r="H19" s="329">
        <f>H18</f>
        <v>3857.14</v>
      </c>
      <c r="I19" s="329">
        <f t="shared" ref="I19:N19" si="0">I18</f>
        <v>6473.26</v>
      </c>
      <c r="J19" s="329">
        <f t="shared" si="0"/>
        <v>49519.574999999997</v>
      </c>
      <c r="K19" s="329">
        <f t="shared" si="0"/>
        <v>257928.27499999999</v>
      </c>
      <c r="L19" s="329">
        <f t="shared" si="0"/>
        <v>206342.62</v>
      </c>
      <c r="M19" s="329">
        <f t="shared" si="0"/>
        <v>464270.88500000001</v>
      </c>
      <c r="N19" s="329">
        <f t="shared" si="0"/>
        <v>464270.88500000001</v>
      </c>
      <c r="O19" s="148"/>
    </row>
    <row r="20" spans="1:15">
      <c r="A20" s="27" t="s">
        <v>223</v>
      </c>
      <c r="B20" s="28">
        <f>B16+B19</f>
        <v>15.17</v>
      </c>
      <c r="C20" s="52"/>
      <c r="D20" s="52"/>
      <c r="E20" s="300">
        <f>E16+E19</f>
        <v>222742.8</v>
      </c>
      <c r="F20" s="300"/>
      <c r="G20" s="300"/>
      <c r="H20" s="300">
        <f t="shared" ref="H20:N20" si="1">H16+H19</f>
        <v>3857.14</v>
      </c>
      <c r="I20" s="300">
        <f t="shared" si="1"/>
        <v>6473.26</v>
      </c>
      <c r="J20" s="300">
        <f t="shared" si="1"/>
        <v>55685.7</v>
      </c>
      <c r="K20" s="300">
        <f t="shared" si="1"/>
        <v>288758.90000000002</v>
      </c>
      <c r="L20" s="300">
        <f t="shared" si="1"/>
        <v>231007.12</v>
      </c>
      <c r="M20" s="300">
        <f t="shared" si="1"/>
        <v>519766.01</v>
      </c>
      <c r="N20" s="300">
        <f t="shared" si="1"/>
        <v>519766.01</v>
      </c>
      <c r="O20" s="300"/>
    </row>
    <row r="21" spans="1:15">
      <c r="A21" s="594" t="s">
        <v>4</v>
      </c>
      <c r="B21" s="595"/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6"/>
      <c r="O21" s="298"/>
    </row>
    <row r="22" spans="1:15">
      <c r="A22" s="339" t="s">
        <v>14</v>
      </c>
      <c r="B22" s="140">
        <v>2</v>
      </c>
      <c r="C22" s="151">
        <v>5253</v>
      </c>
      <c r="D22" s="151"/>
      <c r="E22" s="311">
        <f>C22*B22</f>
        <v>10506</v>
      </c>
      <c r="F22" s="311">
        <f>C22/165.5*61*35%*B22</f>
        <v>1355.3057401812689</v>
      </c>
      <c r="G22" s="311">
        <f>C22*12/1986*288/12*B22</f>
        <v>1523.5287009063443</v>
      </c>
      <c r="H22" s="311"/>
      <c r="I22" s="311"/>
      <c r="J22" s="311">
        <f>(E22+F22+G22)*25%</f>
        <v>3346.2086102719036</v>
      </c>
      <c r="K22" s="311">
        <f>J22+G22+F22+E22</f>
        <v>16731.043051359517</v>
      </c>
      <c r="L22" s="311">
        <f>K22*80%</f>
        <v>13384.834441087614</v>
      </c>
      <c r="M22" s="311">
        <f>L22+K22</f>
        <v>30115.877492447129</v>
      </c>
      <c r="N22" s="311">
        <f>M22</f>
        <v>30115.877492447129</v>
      </c>
      <c r="O22" s="265"/>
    </row>
    <row r="23" spans="1:15">
      <c r="A23" s="447" t="s">
        <v>254</v>
      </c>
      <c r="B23" s="205">
        <v>0.5</v>
      </c>
      <c r="C23" s="151">
        <v>6768</v>
      </c>
      <c r="D23" s="151"/>
      <c r="E23" s="311">
        <f>C23*B23</f>
        <v>3384</v>
      </c>
      <c r="F23" s="257"/>
      <c r="G23" s="257"/>
      <c r="H23" s="257"/>
      <c r="I23" s="257"/>
      <c r="J23" s="305">
        <f>(E23+F23+G23)*25%</f>
        <v>846</v>
      </c>
      <c r="K23" s="305">
        <f>SUM(E23:J23)</f>
        <v>4230</v>
      </c>
      <c r="L23" s="305">
        <f>K23*80%</f>
        <v>3384</v>
      </c>
      <c r="M23" s="305">
        <f>L23+K23</f>
        <v>7614</v>
      </c>
      <c r="N23" s="311">
        <f>M23</f>
        <v>7614</v>
      </c>
      <c r="O23" s="265"/>
    </row>
    <row r="24" spans="1:15" ht="25.5">
      <c r="A24" s="150" t="s">
        <v>0</v>
      </c>
      <c r="B24" s="140">
        <v>2</v>
      </c>
      <c r="C24" s="151">
        <v>5253</v>
      </c>
      <c r="D24" s="151"/>
      <c r="E24" s="311">
        <f>C24*B24</f>
        <v>10506</v>
      </c>
      <c r="F24" s="311"/>
      <c r="G24" s="311"/>
      <c r="H24" s="311"/>
      <c r="I24" s="311"/>
      <c r="J24" s="311">
        <f>E24*25%</f>
        <v>2626.5</v>
      </c>
      <c r="K24" s="311">
        <f>J24+E24</f>
        <v>13132.5</v>
      </c>
      <c r="L24" s="311">
        <f>K24*80%</f>
        <v>10506</v>
      </c>
      <c r="M24" s="311">
        <f>L24+K24</f>
        <v>23638.5</v>
      </c>
      <c r="N24" s="311">
        <f>M24</f>
        <v>23638.5</v>
      </c>
      <c r="O24" s="265">
        <f>B24*O29*1.8-(N24/70*30+N24)</f>
        <v>6838.7142857142899</v>
      </c>
    </row>
    <row r="25" spans="1:15" ht="25.5">
      <c r="A25" s="75" t="s">
        <v>245</v>
      </c>
      <c r="B25" s="140">
        <v>3</v>
      </c>
      <c r="C25" s="151">
        <v>5253</v>
      </c>
      <c r="D25" s="151"/>
      <c r="E25" s="311">
        <f>C25*B25</f>
        <v>15759</v>
      </c>
      <c r="F25" s="311">
        <f>C25/165.5*61*35%*B25</f>
        <v>2032.9586102719034</v>
      </c>
      <c r="G25" s="311">
        <f>C25*12/1986*288/12*B25</f>
        <v>2285.2930513595165</v>
      </c>
      <c r="H25" s="311"/>
      <c r="I25" s="311"/>
      <c r="J25" s="311">
        <f>(E25+F25+G25)*25%</f>
        <v>5019.3129154078551</v>
      </c>
      <c r="K25" s="311">
        <f>J25+G25+F25+E25</f>
        <v>25096.564577039273</v>
      </c>
      <c r="L25" s="311">
        <f>K25*80%</f>
        <v>20077.251661631421</v>
      </c>
      <c r="M25" s="311">
        <f>L25+K25</f>
        <v>45173.816238670697</v>
      </c>
      <c r="N25" s="311">
        <f>M25</f>
        <v>45173.816238670697</v>
      </c>
      <c r="O25" s="265"/>
    </row>
    <row r="26" spans="1:15" ht="38.25">
      <c r="A26" s="424" t="s">
        <v>252</v>
      </c>
      <c r="B26" s="140">
        <v>0.5</v>
      </c>
      <c r="C26" s="151">
        <v>5253</v>
      </c>
      <c r="D26" s="151"/>
      <c r="E26" s="311">
        <f>C26*B26</f>
        <v>2626.5</v>
      </c>
      <c r="F26" s="311"/>
      <c r="G26" s="311"/>
      <c r="H26" s="311"/>
      <c r="I26" s="311"/>
      <c r="J26" s="311">
        <f>(E26+F26+G26)*25%</f>
        <v>656.625</v>
      </c>
      <c r="K26" s="311">
        <f>J26+G26+F26+E26</f>
        <v>3283.125</v>
      </c>
      <c r="L26" s="311">
        <f>K26*80%</f>
        <v>2626.5</v>
      </c>
      <c r="M26" s="311">
        <f>L26+K26</f>
        <v>5909.625</v>
      </c>
      <c r="N26" s="311">
        <f>M26</f>
        <v>5909.625</v>
      </c>
      <c r="O26" s="265">
        <f>B26*O29*1.8-(N26/70*30+N26)</f>
        <v>1709.6785714285725</v>
      </c>
    </row>
    <row r="27" spans="1:15">
      <c r="A27" s="27"/>
      <c r="B27" s="28">
        <f>SUM(B22:B26)</f>
        <v>8</v>
      </c>
      <c r="C27" s="28"/>
      <c r="D27" s="28"/>
      <c r="E27" s="300">
        <f>SUM(E22:E26)</f>
        <v>42781.5</v>
      </c>
      <c r="F27" s="300">
        <f>SUM(F22:F26)</f>
        <v>3388.2643504531725</v>
      </c>
      <c r="G27" s="300">
        <f>SUM(G22:G26)</f>
        <v>3808.8217522658606</v>
      </c>
      <c r="H27" s="300"/>
      <c r="I27" s="300"/>
      <c r="J27" s="300">
        <f t="shared" ref="J27:O27" si="2">SUM(J22:J26)</f>
        <v>12494.64652567976</v>
      </c>
      <c r="K27" s="300">
        <f t="shared" si="2"/>
        <v>62473.232628398793</v>
      </c>
      <c r="L27" s="300">
        <f t="shared" si="2"/>
        <v>49978.58610271904</v>
      </c>
      <c r="M27" s="300">
        <f t="shared" si="2"/>
        <v>112451.81873111782</v>
      </c>
      <c r="N27" s="300">
        <f t="shared" si="2"/>
        <v>112451.81873111782</v>
      </c>
      <c r="O27" s="300">
        <f t="shared" si="2"/>
        <v>8548.3928571428623</v>
      </c>
    </row>
    <row r="28" spans="1:15">
      <c r="A28" s="154" t="s">
        <v>5</v>
      </c>
      <c r="B28" s="214">
        <f>B20+B27</f>
        <v>23.17</v>
      </c>
      <c r="C28" s="214"/>
      <c r="D28" s="214"/>
      <c r="E28" s="301">
        <f>E20+E27</f>
        <v>265524.3</v>
      </c>
      <c r="F28" s="301">
        <f t="shared" ref="F28:O28" si="3">F20+F27</f>
        <v>3388.2643504531725</v>
      </c>
      <c r="G28" s="301">
        <f t="shared" si="3"/>
        <v>3808.8217522658606</v>
      </c>
      <c r="H28" s="301">
        <f t="shared" si="3"/>
        <v>3857.14</v>
      </c>
      <c r="I28" s="301">
        <f t="shared" si="3"/>
        <v>6473.26</v>
      </c>
      <c r="J28" s="301">
        <f t="shared" si="3"/>
        <v>68180.34652567975</v>
      </c>
      <c r="K28" s="301">
        <f t="shared" si="3"/>
        <v>351232.13262839883</v>
      </c>
      <c r="L28" s="301">
        <f t="shared" si="3"/>
        <v>280985.70610271906</v>
      </c>
      <c r="M28" s="301">
        <f t="shared" si="3"/>
        <v>632217.82873111777</v>
      </c>
      <c r="N28" s="301">
        <f t="shared" si="3"/>
        <v>632217.82873111777</v>
      </c>
      <c r="O28" s="301">
        <f t="shared" si="3"/>
        <v>8548.3928571428623</v>
      </c>
    </row>
    <row r="29" spans="1:15">
      <c r="A29" s="66" t="s">
        <v>95</v>
      </c>
      <c r="B29" s="67"/>
      <c r="C29" s="67"/>
      <c r="D29" s="67"/>
      <c r="E29" s="67"/>
      <c r="F29" s="155"/>
      <c r="G29" s="597" t="s">
        <v>161</v>
      </c>
      <c r="H29" s="597"/>
      <c r="I29" s="597"/>
      <c r="J29" s="597"/>
      <c r="K29" s="597"/>
      <c r="L29" s="67"/>
      <c r="M29" s="67"/>
      <c r="N29" s="340" t="s">
        <v>183</v>
      </c>
      <c r="O29" s="351">
        <v>11280</v>
      </c>
    </row>
    <row r="30" spans="1:15">
      <c r="A30" s="155" t="s">
        <v>93</v>
      </c>
      <c r="B30" s="155"/>
      <c r="C30" s="155"/>
      <c r="D30" s="155"/>
      <c r="E30" s="312">
        <f>N20</f>
        <v>519766.01</v>
      </c>
      <c r="F30" s="155"/>
      <c r="G30" s="155" t="s">
        <v>93</v>
      </c>
      <c r="H30" s="155"/>
      <c r="I30" s="155"/>
      <c r="J30" s="156"/>
      <c r="K30" s="312">
        <f>N27+O27</f>
        <v>121000.21158826069</v>
      </c>
      <c r="L30" s="156"/>
      <c r="M30" s="155"/>
      <c r="N30" s="155"/>
      <c r="O30" s="155"/>
    </row>
    <row r="31" spans="1:15">
      <c r="A31" s="155" t="s">
        <v>90</v>
      </c>
      <c r="B31" s="155"/>
      <c r="C31" s="155"/>
      <c r="D31" s="155"/>
      <c r="E31" s="312">
        <f>E30/70*30</f>
        <v>222756.86142857143</v>
      </c>
      <c r="F31" s="155"/>
      <c r="G31" s="155" t="s">
        <v>90</v>
      </c>
      <c r="H31" s="155"/>
      <c r="I31" s="155"/>
      <c r="J31" s="155"/>
      <c r="K31" s="312">
        <f>M27/70*30</f>
        <v>48193.636599050493</v>
      </c>
      <c r="L31" s="155"/>
      <c r="M31" s="155"/>
      <c r="N31" s="155"/>
      <c r="O31" s="155"/>
    </row>
    <row r="32" spans="1:15">
      <c r="A32" s="155" t="s">
        <v>6</v>
      </c>
      <c r="B32" s="155"/>
      <c r="C32" s="155"/>
      <c r="D32" s="155"/>
      <c r="E32" s="312">
        <f>E30+E31</f>
        <v>742522.87142857141</v>
      </c>
      <c r="F32" s="155"/>
      <c r="G32" s="155" t="s">
        <v>6</v>
      </c>
      <c r="H32" s="155"/>
      <c r="I32" s="155"/>
      <c r="J32" s="156"/>
      <c r="K32" s="312">
        <f>SUM(K30:K31)</f>
        <v>169193.84818731117</v>
      </c>
      <c r="L32" s="156"/>
      <c r="M32" s="155"/>
      <c r="N32" s="155"/>
      <c r="O32" s="155"/>
    </row>
    <row r="33" spans="1:15">
      <c r="A33" s="157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6"/>
      <c r="M33" s="155"/>
      <c r="N33" s="155"/>
      <c r="O33" s="155"/>
    </row>
    <row r="34" spans="1:15">
      <c r="A34" t="s">
        <v>164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spans="1:15">
      <c r="A35" t="s">
        <v>149</v>
      </c>
      <c r="B35" s="155"/>
      <c r="C35" s="155"/>
      <c r="D35" s="155"/>
      <c r="E35" s="155"/>
      <c r="F35" s="155" t="s">
        <v>65</v>
      </c>
      <c r="G35" s="155" t="s">
        <v>61</v>
      </c>
      <c r="H35" s="155"/>
      <c r="I35" s="155"/>
      <c r="J35" s="155"/>
      <c r="K35" s="155"/>
      <c r="L35" s="155"/>
      <c r="M35" s="155"/>
      <c r="N35" s="155"/>
      <c r="O35" s="155"/>
    </row>
  </sheetData>
  <mergeCells count="22">
    <mergeCell ref="K1:N2"/>
    <mergeCell ref="K4:L4"/>
    <mergeCell ref="B5:J5"/>
    <mergeCell ref="F6:G6"/>
    <mergeCell ref="J6:M6"/>
    <mergeCell ref="O11:O12"/>
    <mergeCell ref="A7:C7"/>
    <mergeCell ref="F7:G7"/>
    <mergeCell ref="E11:E12"/>
    <mergeCell ref="F11:M11"/>
    <mergeCell ref="A13:N13"/>
    <mergeCell ref="A9:G9"/>
    <mergeCell ref="D11:D12"/>
    <mergeCell ref="A17:N17"/>
    <mergeCell ref="A21:N21"/>
    <mergeCell ref="G29:K29"/>
    <mergeCell ref="A8:G8"/>
    <mergeCell ref="A10:N10"/>
    <mergeCell ref="A11:A12"/>
    <mergeCell ref="B11:B12"/>
    <mergeCell ref="C11:C12"/>
    <mergeCell ref="N11:N1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8"/>
  <sheetViews>
    <sheetView topLeftCell="A16" workbookViewId="0">
      <selection activeCell="C30" sqref="C30"/>
    </sheetView>
  </sheetViews>
  <sheetFormatPr defaultRowHeight="12.75"/>
  <cols>
    <col min="1" max="1" width="21.7109375" customWidth="1"/>
    <col min="2" max="2" width="11.85546875" customWidth="1"/>
    <col min="3" max="3" width="11.5703125" customWidth="1"/>
    <col min="4" max="4" width="12.140625" customWidth="1"/>
    <col min="5" max="5" width="11.42578125" customWidth="1"/>
    <col min="6" max="6" width="13.140625" customWidth="1"/>
    <col min="7" max="7" width="12.140625" customWidth="1"/>
    <col min="8" max="8" width="12.28515625" customWidth="1"/>
    <col min="9" max="9" width="12.85546875" customWidth="1"/>
    <col min="10" max="10" width="10.42578125" customWidth="1"/>
    <col min="11" max="11" width="11.85546875" customWidth="1"/>
    <col min="12" max="13" width="13" customWidth="1"/>
  </cols>
  <sheetData>
    <row r="1" spans="1:14">
      <c r="A1" s="563" t="s">
        <v>95</v>
      </c>
      <c r="B1" s="563"/>
      <c r="C1" s="563"/>
      <c r="D1" s="563"/>
      <c r="E1" s="563"/>
      <c r="F1" s="563"/>
      <c r="G1" s="563"/>
      <c r="I1" s="477" t="s">
        <v>196</v>
      </c>
      <c r="J1" s="477"/>
      <c r="K1" s="477"/>
      <c r="L1" s="610"/>
      <c r="M1" s="406"/>
    </row>
    <row r="2" spans="1:14" ht="26.25" customHeight="1">
      <c r="A2" s="36"/>
      <c r="B2" s="579" t="s">
        <v>83</v>
      </c>
      <c r="C2" s="579"/>
      <c r="D2" s="579"/>
      <c r="E2" s="612" t="s">
        <v>168</v>
      </c>
      <c r="F2" s="612"/>
      <c r="G2" s="612"/>
      <c r="H2" s="611" t="s">
        <v>99</v>
      </c>
      <c r="I2" s="579" t="s">
        <v>83</v>
      </c>
      <c r="J2" s="579"/>
      <c r="K2" s="579"/>
      <c r="L2" s="606" t="s">
        <v>168</v>
      </c>
      <c r="M2" s="607"/>
    </row>
    <row r="3" spans="1:14">
      <c r="A3" s="36" t="s">
        <v>72</v>
      </c>
      <c r="B3" s="36">
        <v>211</v>
      </c>
      <c r="C3" s="36">
        <v>213</v>
      </c>
      <c r="D3" s="36" t="s">
        <v>44</v>
      </c>
      <c r="E3" s="36">
        <v>211</v>
      </c>
      <c r="F3" s="36">
        <v>213</v>
      </c>
      <c r="G3" s="36" t="s">
        <v>44</v>
      </c>
      <c r="H3" s="611"/>
      <c r="I3" s="36">
        <v>211</v>
      </c>
      <c r="J3" s="36">
        <v>213</v>
      </c>
      <c r="K3" s="36" t="s">
        <v>44</v>
      </c>
      <c r="L3" s="403">
        <v>211</v>
      </c>
      <c r="M3" s="407">
        <v>213</v>
      </c>
    </row>
    <row r="4" spans="1:14">
      <c r="A4" s="36" t="s">
        <v>73</v>
      </c>
      <c r="B4" s="65">
        <f>Терней!E91</f>
        <v>1712805.9274285715</v>
      </c>
      <c r="C4" s="65">
        <f>B4*30.2%</f>
        <v>517267.39008342859</v>
      </c>
      <c r="D4" s="65">
        <f>B4+C4</f>
        <v>2230073.317512</v>
      </c>
      <c r="E4" s="65">
        <f>B4*12</f>
        <v>20553671.129142858</v>
      </c>
      <c r="F4" s="65">
        <f>E4*30.2%</f>
        <v>6207208.6810011426</v>
      </c>
      <c r="G4" s="65">
        <f>E4+F4</f>
        <v>26760879.810144</v>
      </c>
      <c r="H4" s="224">
        <f>Терней!N70/70*30+Терней!N70</f>
        <v>1474784.2131428572</v>
      </c>
      <c r="I4" s="224">
        <f>Терней!K91</f>
        <v>284256</v>
      </c>
      <c r="J4" s="224">
        <f>I4*30.2%</f>
        <v>85845.311999999991</v>
      </c>
      <c r="K4" s="224">
        <f>I4+J4</f>
        <v>370101.31199999998</v>
      </c>
      <c r="L4" s="224">
        <f>I4*12</f>
        <v>3411072</v>
      </c>
      <c r="M4" s="224">
        <f>L4*30.2%</f>
        <v>1030143.7439999999</v>
      </c>
      <c r="N4" s="36" t="s">
        <v>73</v>
      </c>
    </row>
    <row r="5" spans="1:14">
      <c r="A5" s="36" t="s">
        <v>74</v>
      </c>
      <c r="B5" s="65">
        <f>Пластун!E48</f>
        <v>2631477.7828571433</v>
      </c>
      <c r="C5" s="65">
        <f t="shared" ref="C5:C13" si="0">B5*30.2%</f>
        <v>794706.29042285727</v>
      </c>
      <c r="D5" s="65">
        <f t="shared" ref="D5:D13" si="1">B5+C5</f>
        <v>3426184.0732800006</v>
      </c>
      <c r="E5" s="65">
        <f t="shared" ref="E5:E13" si="2">B5*12</f>
        <v>31577733.39428572</v>
      </c>
      <c r="F5" s="65">
        <f t="shared" ref="F5:F13" si="3">E5*30.2%</f>
        <v>9536475.4850742873</v>
      </c>
      <c r="G5" s="65">
        <f t="shared" ref="G5:G13" si="4">E5+F5</f>
        <v>41114208.879360005</v>
      </c>
      <c r="H5" s="224">
        <f>Пластун!O26/70*30+Пластун!O26</f>
        <v>2310162.8685714286</v>
      </c>
      <c r="I5" s="224">
        <f>Пластун!K48</f>
        <v>466992</v>
      </c>
      <c r="J5" s="224">
        <f t="shared" ref="J5:J13" si="5">I5*30.2%</f>
        <v>141031.584</v>
      </c>
      <c r="K5" s="224">
        <f t="shared" ref="K5:K13" si="6">I5+J5</f>
        <v>608023.58400000003</v>
      </c>
      <c r="L5" s="224">
        <f t="shared" ref="L5:L13" si="7">I5*12</f>
        <v>5603904</v>
      </c>
      <c r="M5" s="224">
        <f t="shared" ref="M5:M13" si="8">L5*30.2%</f>
        <v>1692379.0079999999</v>
      </c>
      <c r="N5" s="36" t="s">
        <v>74</v>
      </c>
    </row>
    <row r="6" spans="1:14">
      <c r="A6" s="36" t="s">
        <v>75</v>
      </c>
      <c r="B6" s="65">
        <f>Светлая!E35</f>
        <v>404794.3285714286</v>
      </c>
      <c r="C6" s="65">
        <f t="shared" si="0"/>
        <v>122247.88722857143</v>
      </c>
      <c r="D6" s="65">
        <f t="shared" si="1"/>
        <v>527042.21580000001</v>
      </c>
      <c r="E6" s="65">
        <f t="shared" si="2"/>
        <v>4857531.9428571435</v>
      </c>
      <c r="F6" s="65">
        <f t="shared" si="3"/>
        <v>1466974.6467428573</v>
      </c>
      <c r="G6" s="65">
        <f t="shared" si="4"/>
        <v>6324506.5896000005</v>
      </c>
      <c r="H6" s="224">
        <f>Светлая!O20/70*30+Светлая!O20</f>
        <v>291747.90000000002</v>
      </c>
      <c r="I6" s="224">
        <f>Светлая!L35</f>
        <v>182736</v>
      </c>
      <c r="J6" s="224">
        <f t="shared" si="5"/>
        <v>55186.271999999997</v>
      </c>
      <c r="K6" s="224">
        <f t="shared" si="6"/>
        <v>237922.272</v>
      </c>
      <c r="L6" s="224">
        <f t="shared" si="7"/>
        <v>2192832</v>
      </c>
      <c r="M6" s="224">
        <f t="shared" si="8"/>
        <v>662235.26399999997</v>
      </c>
      <c r="N6" s="36" t="s">
        <v>75</v>
      </c>
    </row>
    <row r="7" spans="1:14">
      <c r="A7" s="36" t="s">
        <v>76</v>
      </c>
      <c r="B7" s="65">
        <f>М.Кема!E33</f>
        <v>808553.49428571435</v>
      </c>
      <c r="C7" s="65">
        <f t="shared" si="0"/>
        <v>244183.15527428573</v>
      </c>
      <c r="D7" s="65">
        <f t="shared" si="1"/>
        <v>1052736.64956</v>
      </c>
      <c r="E7" s="65">
        <f t="shared" si="2"/>
        <v>9702641.9314285722</v>
      </c>
      <c r="F7" s="65">
        <f t="shared" si="3"/>
        <v>2930197.8632914289</v>
      </c>
      <c r="G7" s="65">
        <f t="shared" si="4"/>
        <v>12632839.794720002</v>
      </c>
      <c r="H7" s="224">
        <f>М.Кема!O20/70*30+М.Кема!O20</f>
        <v>655463.49428571435</v>
      </c>
      <c r="I7" s="224">
        <f>М.Кема!K33</f>
        <v>200857.18925334484</v>
      </c>
      <c r="J7" s="224">
        <f t="shared" si="5"/>
        <v>60658.87115451014</v>
      </c>
      <c r="K7" s="224">
        <f t="shared" si="6"/>
        <v>261516.06040785497</v>
      </c>
      <c r="L7" s="224">
        <f t="shared" si="7"/>
        <v>2410286.2710401379</v>
      </c>
      <c r="M7" s="224">
        <f t="shared" si="8"/>
        <v>727906.45385412162</v>
      </c>
      <c r="N7" s="36" t="s">
        <v>76</v>
      </c>
    </row>
    <row r="8" spans="1:14">
      <c r="A8" s="36" t="s">
        <v>77</v>
      </c>
      <c r="B8" s="65">
        <f>АМГУ!E217</f>
        <v>920244.92142857146</v>
      </c>
      <c r="C8" s="65">
        <f t="shared" si="0"/>
        <v>277913.96627142857</v>
      </c>
      <c r="D8" s="65">
        <f t="shared" si="1"/>
        <v>1198158.8877000001</v>
      </c>
      <c r="E8" s="65">
        <f t="shared" si="2"/>
        <v>11042939.057142857</v>
      </c>
      <c r="F8" s="65">
        <f t="shared" si="3"/>
        <v>3334967.595257143</v>
      </c>
      <c r="G8" s="65">
        <f t="shared" si="4"/>
        <v>14377906.6524</v>
      </c>
      <c r="H8" s="224">
        <f>АМГУ!N204/70*30+АМГУ!N204</f>
        <v>785686.88571428566</v>
      </c>
      <c r="I8" s="224">
        <f>АМГУ!K217</f>
        <v>207590.68782908935</v>
      </c>
      <c r="J8" s="224">
        <f t="shared" si="5"/>
        <v>62692.387724384986</v>
      </c>
      <c r="K8" s="224">
        <f t="shared" si="6"/>
        <v>270283.07555347437</v>
      </c>
      <c r="L8" s="224">
        <f t="shared" si="7"/>
        <v>2491088.2539490722</v>
      </c>
      <c r="M8" s="224">
        <f t="shared" si="8"/>
        <v>752308.65269261983</v>
      </c>
      <c r="N8" s="36" t="s">
        <v>77</v>
      </c>
    </row>
    <row r="9" spans="1:14">
      <c r="A9" s="36" t="s">
        <v>78</v>
      </c>
      <c r="B9" s="65">
        <f>Максимовка!E34</f>
        <v>320652.80214285717</v>
      </c>
      <c r="C9" s="65">
        <f t="shared" si="0"/>
        <v>96837.146247142868</v>
      </c>
      <c r="D9" s="65">
        <f t="shared" si="1"/>
        <v>417489.94839000003</v>
      </c>
      <c r="E9" s="65">
        <f t="shared" si="2"/>
        <v>3847833.6257142862</v>
      </c>
      <c r="F9" s="65">
        <f t="shared" si="3"/>
        <v>1162045.7549657144</v>
      </c>
      <c r="G9" s="65">
        <f t="shared" si="4"/>
        <v>5009879.3806800004</v>
      </c>
      <c r="H9" s="224">
        <f>Максимовка!P57/70*30+Максимовка!P57</f>
        <v>219110.9528571429</v>
      </c>
      <c r="I9" s="224">
        <f>Максимовка!L70</f>
        <v>170401.18925334484</v>
      </c>
      <c r="J9" s="224">
        <f t="shared" si="5"/>
        <v>51461.15915451014</v>
      </c>
      <c r="K9" s="224">
        <f t="shared" si="6"/>
        <v>221862.34840785497</v>
      </c>
      <c r="L9" s="224">
        <f t="shared" si="7"/>
        <v>2044814.2710401381</v>
      </c>
      <c r="M9" s="224">
        <f t="shared" si="8"/>
        <v>617533.90985412174</v>
      </c>
      <c r="N9" s="36" t="s">
        <v>78</v>
      </c>
    </row>
    <row r="10" spans="1:14">
      <c r="A10" s="36" t="s">
        <v>79</v>
      </c>
      <c r="B10" s="65">
        <f>'У-Собол'!E32</f>
        <v>742522.87142857141</v>
      </c>
      <c r="C10" s="65">
        <f t="shared" si="0"/>
        <v>224241.90717142855</v>
      </c>
      <c r="D10" s="65">
        <f t="shared" si="1"/>
        <v>966764.77859999996</v>
      </c>
      <c r="E10" s="65">
        <f t="shared" si="2"/>
        <v>8910274.457142856</v>
      </c>
      <c r="F10" s="65">
        <f t="shared" si="3"/>
        <v>2690902.8860571426</v>
      </c>
      <c r="G10" s="65">
        <f t="shared" si="4"/>
        <v>11601177.343199998</v>
      </c>
      <c r="H10" s="224">
        <f>'У-Собол'!N19/70*30+'У-Собол'!N19</f>
        <v>663244.12142857141</v>
      </c>
      <c r="I10" s="224">
        <f>'У-Собол'!K32</f>
        <v>169193.84818731117</v>
      </c>
      <c r="J10" s="224">
        <f t="shared" si="5"/>
        <v>51096.54215256797</v>
      </c>
      <c r="K10" s="224">
        <f t="shared" si="6"/>
        <v>220290.39033987914</v>
      </c>
      <c r="L10" s="224">
        <f t="shared" si="7"/>
        <v>2030326.178247734</v>
      </c>
      <c r="M10" s="224">
        <f t="shared" si="8"/>
        <v>613158.50583081564</v>
      </c>
      <c r="N10" s="36" t="s">
        <v>79</v>
      </c>
    </row>
    <row r="11" spans="1:14">
      <c r="A11" s="36" t="s">
        <v>80</v>
      </c>
      <c r="B11" s="65">
        <f>Перетычиха!E32</f>
        <v>450182.60357142857</v>
      </c>
      <c r="C11" s="65">
        <f t="shared" si="0"/>
        <v>135955.14627857142</v>
      </c>
      <c r="D11" s="65">
        <f t="shared" si="1"/>
        <v>586137.74985000002</v>
      </c>
      <c r="E11" s="65">
        <f t="shared" si="2"/>
        <v>5402191.2428571433</v>
      </c>
      <c r="F11" s="65">
        <f t="shared" si="3"/>
        <v>1631461.7553428572</v>
      </c>
      <c r="G11" s="65">
        <f t="shared" si="4"/>
        <v>7033652.9982000003</v>
      </c>
      <c r="H11" s="224">
        <f>Перетычиха!N19/70*30+Перетычиха!N19</f>
        <v>370903.85357142857</v>
      </c>
      <c r="I11" s="224">
        <f>Перетычиха!K32</f>
        <v>164309.98925334483</v>
      </c>
      <c r="J11" s="224">
        <f t="shared" si="5"/>
        <v>49621.616754510134</v>
      </c>
      <c r="K11" s="224">
        <f t="shared" si="6"/>
        <v>213931.60600785498</v>
      </c>
      <c r="L11" s="224">
        <f t="shared" si="7"/>
        <v>1971719.871040138</v>
      </c>
      <c r="M11" s="224">
        <f t="shared" si="8"/>
        <v>595459.40105412167</v>
      </c>
      <c r="N11" s="36" t="s">
        <v>80</v>
      </c>
    </row>
    <row r="12" spans="1:14">
      <c r="A12" s="36" t="s">
        <v>81</v>
      </c>
      <c r="B12" s="65">
        <f>Самарга!F31</f>
        <v>549932.95928571431</v>
      </c>
      <c r="C12" s="65">
        <f t="shared" si="0"/>
        <v>166079.75370428571</v>
      </c>
      <c r="D12" s="65">
        <f t="shared" si="1"/>
        <v>716012.71299000003</v>
      </c>
      <c r="E12" s="65">
        <f t="shared" si="2"/>
        <v>6599195.5114285722</v>
      </c>
      <c r="F12" s="65">
        <f t="shared" si="3"/>
        <v>1992957.0444514288</v>
      </c>
      <c r="G12" s="65">
        <f t="shared" si="4"/>
        <v>8592152.5558800008</v>
      </c>
      <c r="H12" s="224">
        <f>Самарга!O19/70*30+Самарга!O19</f>
        <v>470654.20928571431</v>
      </c>
      <c r="I12" s="224">
        <f>Самарга!L31</f>
        <v>107074.50712127751</v>
      </c>
      <c r="J12" s="224">
        <f t="shared" si="5"/>
        <v>32336.501150625805</v>
      </c>
      <c r="K12" s="224">
        <f t="shared" si="6"/>
        <v>139411.00827190332</v>
      </c>
      <c r="L12" s="224">
        <f t="shared" si="7"/>
        <v>1284894.0854553301</v>
      </c>
      <c r="M12" s="224">
        <f t="shared" si="8"/>
        <v>388038.01380750968</v>
      </c>
      <c r="N12" s="36" t="s">
        <v>81</v>
      </c>
    </row>
    <row r="13" spans="1:14">
      <c r="A13" s="36" t="s">
        <v>82</v>
      </c>
      <c r="B13" s="65">
        <f>АГЗУ!E32</f>
        <v>424356.66642857145</v>
      </c>
      <c r="C13" s="65">
        <f t="shared" si="0"/>
        <v>128155.71326142858</v>
      </c>
      <c r="D13" s="65">
        <f t="shared" si="1"/>
        <v>552512.37969000009</v>
      </c>
      <c r="E13" s="65">
        <f t="shared" si="2"/>
        <v>5092279.9971428569</v>
      </c>
      <c r="F13" s="65">
        <f t="shared" si="3"/>
        <v>1537868.5591371427</v>
      </c>
      <c r="G13" s="65">
        <f t="shared" si="4"/>
        <v>6630148.5562800001</v>
      </c>
      <c r="H13" s="224">
        <f>АГЗУ!N20/70*30+АГЗУ!N20</f>
        <v>345077.91642857145</v>
      </c>
      <c r="I13" s="224">
        <f>АГЗУ!K32</f>
        <v>133661.84818731117</v>
      </c>
      <c r="J13" s="224">
        <f t="shared" si="5"/>
        <v>40365.878152567973</v>
      </c>
      <c r="K13" s="224">
        <f t="shared" si="6"/>
        <v>174027.72633987915</v>
      </c>
      <c r="L13" s="224">
        <f t="shared" si="7"/>
        <v>1603942.178247734</v>
      </c>
      <c r="M13" s="224">
        <f t="shared" si="8"/>
        <v>484390.53783081565</v>
      </c>
      <c r="N13" s="36" t="s">
        <v>82</v>
      </c>
    </row>
    <row r="14" spans="1:14">
      <c r="A14" s="37" t="s">
        <v>5</v>
      </c>
      <c r="B14" s="64">
        <f t="shared" ref="B14:H14" si="9">SUM(B4:B13)</f>
        <v>8965524.3574285731</v>
      </c>
      <c r="C14" s="64">
        <f t="shared" si="9"/>
        <v>2707588.3559434288</v>
      </c>
      <c r="D14" s="64">
        <f t="shared" si="9"/>
        <v>11673112.713372001</v>
      </c>
      <c r="E14" s="64">
        <f t="shared" si="9"/>
        <v>107586292.28914288</v>
      </c>
      <c r="F14" s="64">
        <f t="shared" si="9"/>
        <v>32491060.271321148</v>
      </c>
      <c r="G14" s="64">
        <f t="shared" si="9"/>
        <v>140077352.56046396</v>
      </c>
      <c r="H14" s="64">
        <f t="shared" si="9"/>
        <v>7586836.4152857158</v>
      </c>
      <c r="I14" s="258">
        <f>SUM(I4:I13)</f>
        <v>2087073.2590850238</v>
      </c>
      <c r="J14" s="258">
        <f>SUM(J4:J13)</f>
        <v>630296.12424367713</v>
      </c>
      <c r="K14" s="258">
        <f>SUM(K4:K13)</f>
        <v>2717369.3833287009</v>
      </c>
      <c r="L14" s="258">
        <f>SUM(L4:L13)</f>
        <v>25044879.109020285</v>
      </c>
      <c r="M14" s="258">
        <f>SUM(M4:M13)</f>
        <v>7563553.4909241265</v>
      </c>
    </row>
    <row r="15" spans="1:14">
      <c r="H15" s="2"/>
      <c r="I15" s="2"/>
      <c r="J15" s="2"/>
      <c r="K15" s="103"/>
      <c r="L15" s="608">
        <f>L14+M14</f>
        <v>32608432.599944413</v>
      </c>
      <c r="M15" s="609"/>
    </row>
    <row r="16" spans="1:14">
      <c r="H16" s="104"/>
      <c r="I16" s="107"/>
      <c r="J16" s="107"/>
    </row>
    <row r="17" spans="1:11">
      <c r="A17" s="605" t="s">
        <v>269</v>
      </c>
      <c r="B17" s="563"/>
      <c r="C17" s="563"/>
      <c r="D17" s="563"/>
      <c r="E17" s="563"/>
      <c r="F17" s="563"/>
      <c r="G17" s="563"/>
      <c r="H17" s="563"/>
    </row>
    <row r="18" spans="1:11">
      <c r="A18" s="36" t="s">
        <v>72</v>
      </c>
      <c r="B18" s="36" t="s">
        <v>98</v>
      </c>
      <c r="C18" s="36" t="s">
        <v>99</v>
      </c>
      <c r="D18" s="36" t="s">
        <v>100</v>
      </c>
      <c r="E18" s="36" t="s">
        <v>101</v>
      </c>
      <c r="F18" s="36" t="s">
        <v>167</v>
      </c>
      <c r="G18" s="36" t="s">
        <v>169</v>
      </c>
      <c r="H18" s="36" t="s">
        <v>5</v>
      </c>
      <c r="I18" s="2"/>
    </row>
    <row r="19" spans="1:11">
      <c r="A19" s="36" t="s">
        <v>73</v>
      </c>
      <c r="B19" s="162">
        <f>Терней!B65</f>
        <v>4</v>
      </c>
      <c r="C19" s="162">
        <f>Терней!B70</f>
        <v>36.06</v>
      </c>
      <c r="D19" s="162">
        <f>Терней!B67</f>
        <v>34.56</v>
      </c>
      <c r="E19" s="162">
        <f>Терней!B75</f>
        <v>2</v>
      </c>
      <c r="F19" s="162"/>
      <c r="G19" s="162">
        <f>Терней!B83</f>
        <v>14</v>
      </c>
      <c r="H19" s="162">
        <f>B19+C19+E19+F19+G19</f>
        <v>56.06</v>
      </c>
    </row>
    <row r="20" spans="1:11">
      <c r="A20" s="36" t="s">
        <v>74</v>
      </c>
      <c r="B20" s="162">
        <f>Пластун!B19</f>
        <v>5.3</v>
      </c>
      <c r="C20" s="162">
        <f>Пластун!B26</f>
        <v>54.83</v>
      </c>
      <c r="D20" s="162">
        <f>Пластун!B21</f>
        <v>51.83</v>
      </c>
      <c r="E20" s="162">
        <f>Пластун!B32</f>
        <v>3.5</v>
      </c>
      <c r="F20" s="162"/>
      <c r="G20" s="162">
        <f>Пластун!B42</f>
        <v>23</v>
      </c>
      <c r="H20" s="162">
        <f t="shared" ref="H20:H26" si="10">B20+C20+E20+F20+G20</f>
        <v>86.63</v>
      </c>
    </row>
    <row r="21" spans="1:11">
      <c r="A21" s="319" t="s">
        <v>170</v>
      </c>
      <c r="B21" s="369">
        <f t="shared" ref="B21:G21" si="11">SUM(B19:B20)</f>
        <v>9.3000000000000007</v>
      </c>
      <c r="C21" s="369">
        <f>SUM(C19:C20)</f>
        <v>90.89</v>
      </c>
      <c r="D21" s="369">
        <f>SUM(D19:D20)</f>
        <v>86.39</v>
      </c>
      <c r="E21" s="369">
        <f t="shared" si="11"/>
        <v>5.5</v>
      </c>
      <c r="F21" s="369">
        <f t="shared" si="11"/>
        <v>0</v>
      </c>
      <c r="G21" s="369">
        <f t="shared" si="11"/>
        <v>37</v>
      </c>
      <c r="H21" s="370">
        <f t="shared" si="10"/>
        <v>142.69</v>
      </c>
    </row>
    <row r="22" spans="1:11">
      <c r="A22" s="30" t="s">
        <v>75</v>
      </c>
      <c r="B22" s="163">
        <f>Светлая!B17</f>
        <v>2.5</v>
      </c>
      <c r="C22" s="163">
        <f>Светлая!B20</f>
        <v>13.11</v>
      </c>
      <c r="D22" s="162">
        <f t="shared" ref="D22:D30" si="12">C22</f>
        <v>13.11</v>
      </c>
      <c r="E22" s="163"/>
      <c r="F22" s="163"/>
      <c r="G22" s="163">
        <f>Светлая!B30</f>
        <v>9</v>
      </c>
      <c r="H22" s="162">
        <f t="shared" si="10"/>
        <v>24.61</v>
      </c>
    </row>
    <row r="23" spans="1:11">
      <c r="A23" s="30" t="s">
        <v>76</v>
      </c>
      <c r="B23" s="163">
        <f>М.Кема!B17</f>
        <v>3</v>
      </c>
      <c r="C23" s="163">
        <f>М.Кема!B20</f>
        <v>13.72</v>
      </c>
      <c r="D23" s="162">
        <f t="shared" si="12"/>
        <v>13.72</v>
      </c>
      <c r="E23" s="163"/>
      <c r="F23" s="163"/>
      <c r="G23" s="163">
        <f>М.Кема!B28</f>
        <v>9.5</v>
      </c>
      <c r="H23" s="162">
        <f t="shared" si="10"/>
        <v>26.22</v>
      </c>
    </row>
    <row r="24" spans="1:11">
      <c r="A24" s="30" t="s">
        <v>77</v>
      </c>
      <c r="B24" s="163">
        <f>АМГУ!B201</f>
        <v>2.5</v>
      </c>
      <c r="C24" s="163">
        <f>АМГУ!B204</f>
        <v>15.56</v>
      </c>
      <c r="D24" s="162">
        <f t="shared" si="12"/>
        <v>15.56</v>
      </c>
      <c r="E24" s="163"/>
      <c r="F24" s="163"/>
      <c r="G24" s="163">
        <f>АМГУ!B212</f>
        <v>10</v>
      </c>
      <c r="H24" s="162">
        <f t="shared" si="10"/>
        <v>28.060000000000002</v>
      </c>
    </row>
    <row r="25" spans="1:11">
      <c r="A25" s="30" t="s">
        <v>78</v>
      </c>
      <c r="B25" s="163">
        <f>Максимовка!B54</f>
        <v>1.5</v>
      </c>
      <c r="C25" s="163">
        <f>Максимовка!B57</f>
        <v>4.83</v>
      </c>
      <c r="D25" s="162">
        <f t="shared" si="12"/>
        <v>4.83</v>
      </c>
      <c r="E25" s="163"/>
      <c r="F25" s="163"/>
      <c r="G25" s="163">
        <f>Максимовка!B65</f>
        <v>8</v>
      </c>
      <c r="H25" s="162">
        <f>B25+C25+E25+F25+G25-2</f>
        <v>12.33</v>
      </c>
    </row>
    <row r="26" spans="1:11">
      <c r="A26" s="30" t="s">
        <v>79</v>
      </c>
      <c r="B26" s="163">
        <f>'У-Собол'!B16</f>
        <v>1.5</v>
      </c>
      <c r="C26" s="163">
        <f>'У-Собол'!B19</f>
        <v>13.67</v>
      </c>
      <c r="D26" s="162">
        <f t="shared" si="12"/>
        <v>13.67</v>
      </c>
      <c r="E26" s="163"/>
      <c r="F26" s="163"/>
      <c r="G26" s="163">
        <f>'У-Собол'!B27</f>
        <v>8</v>
      </c>
      <c r="H26" s="162">
        <f t="shared" si="10"/>
        <v>23.17</v>
      </c>
      <c r="K26">
        <f>181.7/123*18</f>
        <v>26.59024390243902</v>
      </c>
    </row>
    <row r="27" spans="1:11">
      <c r="A27" s="30" t="s">
        <v>80</v>
      </c>
      <c r="B27" s="163">
        <f>Перетычиха!B16</f>
        <v>1.5</v>
      </c>
      <c r="C27" s="163">
        <f>Перетычиха!B19</f>
        <v>8.17</v>
      </c>
      <c r="D27" s="162">
        <f t="shared" si="12"/>
        <v>8.17</v>
      </c>
      <c r="E27" s="163"/>
      <c r="F27" s="163"/>
      <c r="G27" s="163">
        <f>Перетычиха!B27</f>
        <v>7.7</v>
      </c>
      <c r="H27" s="162">
        <f>B27+C27+E27+F27+G27-2</f>
        <v>15.370000000000001</v>
      </c>
    </row>
    <row r="28" spans="1:11">
      <c r="A28" s="30" t="s">
        <v>81</v>
      </c>
      <c r="B28" s="163">
        <f>Самарга!C16</f>
        <v>1.5</v>
      </c>
      <c r="C28" s="163">
        <f>Самарга!C19</f>
        <v>10.11</v>
      </c>
      <c r="D28" s="162">
        <f t="shared" si="12"/>
        <v>10.11</v>
      </c>
      <c r="E28" s="163"/>
      <c r="F28" s="163"/>
      <c r="G28" s="163">
        <f>Самарга!C26</f>
        <v>5</v>
      </c>
      <c r="H28" s="162">
        <f>B28+C28+E28+F28+G28-2</f>
        <v>14.61</v>
      </c>
    </row>
    <row r="29" spans="1:11">
      <c r="A29" s="30" t="s">
        <v>82</v>
      </c>
      <c r="B29" s="163">
        <f>АГЗУ!B17</f>
        <v>1.5</v>
      </c>
      <c r="C29" s="163">
        <f>АГЗУ!B20</f>
        <v>7.61</v>
      </c>
      <c r="D29" s="162">
        <f t="shared" si="12"/>
        <v>7.61</v>
      </c>
      <c r="E29" s="163"/>
      <c r="F29" s="163"/>
      <c r="G29" s="163">
        <f>АГЗУ!B27</f>
        <v>6.25</v>
      </c>
      <c r="H29" s="162">
        <f>B29+C29+E29+F29+G29-2</f>
        <v>13.36</v>
      </c>
    </row>
    <row r="30" spans="1:11">
      <c r="A30" s="319" t="s">
        <v>171</v>
      </c>
      <c r="B30" s="369">
        <f t="shared" ref="B30:G30" si="13">SUM(B22:B29)</f>
        <v>15.5</v>
      </c>
      <c r="C30" s="369">
        <f t="shared" si="13"/>
        <v>86.78</v>
      </c>
      <c r="D30" s="370">
        <f t="shared" si="12"/>
        <v>86.78</v>
      </c>
      <c r="E30" s="369">
        <f t="shared" si="13"/>
        <v>0</v>
      </c>
      <c r="F30" s="369">
        <f t="shared" si="13"/>
        <v>0</v>
      </c>
      <c r="G30" s="369">
        <f t="shared" si="13"/>
        <v>63.45</v>
      </c>
      <c r="H30" s="370">
        <f>SUM(H22:H29)</f>
        <v>157.73000000000002</v>
      </c>
    </row>
    <row r="31" spans="1:11">
      <c r="A31" s="299" t="s">
        <v>44</v>
      </c>
      <c r="B31" s="320">
        <f t="shared" ref="B31:G31" si="14">B30+B21</f>
        <v>24.8</v>
      </c>
      <c r="C31" s="320">
        <f>C30+C21</f>
        <v>177.67000000000002</v>
      </c>
      <c r="D31" s="320">
        <f t="shared" si="14"/>
        <v>173.17000000000002</v>
      </c>
      <c r="E31" s="320">
        <f t="shared" si="14"/>
        <v>5.5</v>
      </c>
      <c r="F31" s="320">
        <f t="shared" si="14"/>
        <v>0</v>
      </c>
      <c r="G31" s="320">
        <f t="shared" si="14"/>
        <v>100.45</v>
      </c>
      <c r="H31" s="320">
        <f>H30+H21</f>
        <v>300.42</v>
      </c>
    </row>
    <row r="34" spans="1:6">
      <c r="A34" s="36" t="s">
        <v>72</v>
      </c>
      <c r="B34" s="36" t="s">
        <v>272</v>
      </c>
      <c r="C34" s="36" t="s">
        <v>273</v>
      </c>
      <c r="D34" s="36" t="s">
        <v>47</v>
      </c>
      <c r="E34" s="36" t="s">
        <v>274</v>
      </c>
      <c r="F34" s="36" t="s">
        <v>275</v>
      </c>
    </row>
    <row r="35" spans="1:6">
      <c r="A35" s="36" t="s">
        <v>73</v>
      </c>
      <c r="B35" s="224">
        <f>Терней!N65</f>
        <v>138189.6</v>
      </c>
      <c r="C35" s="224">
        <f>Терней!N75</f>
        <v>31041.514285714286</v>
      </c>
      <c r="D35" s="224">
        <f>B35+C35</f>
        <v>169231.11428571428</v>
      </c>
      <c r="E35" s="224">
        <f>D35/70*30</f>
        <v>72527.620408163275</v>
      </c>
      <c r="F35" s="224">
        <f>D35+E35</f>
        <v>241758.73469387757</v>
      </c>
    </row>
    <row r="36" spans="1:6">
      <c r="A36" s="36" t="s">
        <v>74</v>
      </c>
      <c r="B36" s="224">
        <f>Пластун!O19</f>
        <v>175175.64</v>
      </c>
      <c r="C36" s="224">
        <f>Пластун!O32</f>
        <v>54259.585714285713</v>
      </c>
      <c r="D36" s="224">
        <f>B36+C36</f>
        <v>229435.22571428574</v>
      </c>
      <c r="E36" s="224">
        <f>D36/70*30</f>
        <v>98329.38244897961</v>
      </c>
      <c r="F36" s="224">
        <f>D36+E36</f>
        <v>327764.60816326534</v>
      </c>
    </row>
    <row r="37" spans="1:6">
      <c r="A37" s="30" t="s">
        <v>75</v>
      </c>
      <c r="B37" s="224">
        <f>Светлая!O17</f>
        <v>79132.5</v>
      </c>
      <c r="C37" s="36"/>
      <c r="D37" s="224">
        <f>B37+C37</f>
        <v>79132.5</v>
      </c>
      <c r="E37" s="224">
        <f>D37/70*30</f>
        <v>33913.928571428572</v>
      </c>
      <c r="F37" s="224">
        <f>D37+E37</f>
        <v>113046.42857142858</v>
      </c>
    </row>
    <row r="38" spans="1:6">
      <c r="A38" s="319" t="s">
        <v>271</v>
      </c>
      <c r="B38" s="258">
        <f>SUM(B35:B37)</f>
        <v>392497.74</v>
      </c>
      <c r="C38" s="258">
        <f>SUM(C35:C37)</f>
        <v>85301.1</v>
      </c>
      <c r="D38" s="258">
        <f>SUM(D35:D37)</f>
        <v>477798.84</v>
      </c>
      <c r="E38" s="258">
        <f>SUM(E35:E37)</f>
        <v>204770.93142857146</v>
      </c>
      <c r="F38" s="258">
        <f>SUM(F35:F37)</f>
        <v>682569.77142857155</v>
      </c>
    </row>
    <row r="39" spans="1:6">
      <c r="A39" s="30" t="s">
        <v>76</v>
      </c>
      <c r="B39" s="224">
        <f>М.Кема!O17</f>
        <v>107163</v>
      </c>
      <c r="C39" s="36"/>
      <c r="D39" s="224">
        <f>B39</f>
        <v>107163</v>
      </c>
      <c r="E39" s="224">
        <f>D39/70*30</f>
        <v>45927</v>
      </c>
      <c r="F39" s="224">
        <f>D39+E39</f>
        <v>153090</v>
      </c>
    </row>
    <row r="40" spans="1:6">
      <c r="A40" s="30" t="s">
        <v>77</v>
      </c>
      <c r="B40" s="162">
        <f>АМГУ!N201</f>
        <v>94190.625</v>
      </c>
      <c r="C40" s="36"/>
      <c r="D40" s="224">
        <f t="shared" ref="D40:D45" si="15">B40</f>
        <v>94190.625</v>
      </c>
      <c r="E40" s="224">
        <f t="shared" ref="E40:E45" si="16">D40/70*30</f>
        <v>40367.41071428571</v>
      </c>
      <c r="F40" s="224">
        <f t="shared" ref="F40:F45" si="17">D40+E40</f>
        <v>134558.03571428571</v>
      </c>
    </row>
    <row r="41" spans="1:6">
      <c r="A41" s="30" t="s">
        <v>78</v>
      </c>
      <c r="B41" s="162">
        <f>Максимовка!P54</f>
        <v>55495.125</v>
      </c>
      <c r="C41" s="36"/>
      <c r="D41" s="224">
        <f t="shared" si="15"/>
        <v>55495.125</v>
      </c>
      <c r="E41" s="224">
        <f t="shared" si="16"/>
        <v>23783.625</v>
      </c>
      <c r="F41" s="224">
        <f t="shared" si="17"/>
        <v>79278.75</v>
      </c>
    </row>
    <row r="42" spans="1:6">
      <c r="A42" s="30" t="s">
        <v>79</v>
      </c>
      <c r="B42" s="224">
        <f>'У-Собол'!N16</f>
        <v>55495.125</v>
      </c>
      <c r="C42" s="36"/>
      <c r="D42" s="224">
        <f t="shared" si="15"/>
        <v>55495.125</v>
      </c>
      <c r="E42" s="224">
        <f t="shared" si="16"/>
        <v>23783.625</v>
      </c>
      <c r="F42" s="224">
        <f t="shared" si="17"/>
        <v>79278.75</v>
      </c>
    </row>
    <row r="43" spans="1:6">
      <c r="A43" s="30" t="s">
        <v>80</v>
      </c>
      <c r="B43" s="224">
        <f>Перетычиха!N16</f>
        <v>55495.125</v>
      </c>
      <c r="C43" s="36"/>
      <c r="D43" s="224">
        <f t="shared" si="15"/>
        <v>55495.125</v>
      </c>
      <c r="E43" s="224">
        <f t="shared" si="16"/>
        <v>23783.625</v>
      </c>
      <c r="F43" s="224">
        <f t="shared" si="17"/>
        <v>79278.75</v>
      </c>
    </row>
    <row r="44" spans="1:6">
      <c r="A44" s="30" t="s">
        <v>81</v>
      </c>
      <c r="B44" s="224">
        <f>Самарга!O16</f>
        <v>55495.125</v>
      </c>
      <c r="C44" s="36"/>
      <c r="D44" s="224">
        <f t="shared" si="15"/>
        <v>55495.125</v>
      </c>
      <c r="E44" s="224">
        <f t="shared" si="16"/>
        <v>23783.625</v>
      </c>
      <c r="F44" s="224">
        <f t="shared" si="17"/>
        <v>79278.75</v>
      </c>
    </row>
    <row r="45" spans="1:6">
      <c r="A45" s="30" t="s">
        <v>82</v>
      </c>
      <c r="B45" s="224">
        <f>АГЗУ!N17</f>
        <v>55495.125</v>
      </c>
      <c r="C45" s="36"/>
      <c r="D45" s="224">
        <f t="shared" si="15"/>
        <v>55495.125</v>
      </c>
      <c r="E45" s="224">
        <f t="shared" si="16"/>
        <v>23783.625</v>
      </c>
      <c r="F45" s="224">
        <f t="shared" si="17"/>
        <v>79278.75</v>
      </c>
    </row>
    <row r="46" spans="1:6" s="440" customFormat="1">
      <c r="A46" s="319" t="s">
        <v>270</v>
      </c>
      <c r="B46" s="258">
        <f>SUM(B39:B45)</f>
        <v>478829.25</v>
      </c>
      <c r="C46" s="258">
        <f>SUM(C39:C45)</f>
        <v>0</v>
      </c>
      <c r="D46" s="258">
        <f>SUM(D39:D45)</f>
        <v>478829.25</v>
      </c>
      <c r="E46" s="258">
        <f>SUM(E39:E45)</f>
        <v>205212.53571428571</v>
      </c>
      <c r="F46" s="258">
        <f>SUM(F39:F45)</f>
        <v>684041.78571428568</v>
      </c>
    </row>
    <row r="47" spans="1:6">
      <c r="A47" s="441" t="s">
        <v>44</v>
      </c>
      <c r="B47" s="258">
        <f>B38+B46</f>
        <v>871326.99</v>
      </c>
      <c r="C47" s="258">
        <f>C38+C46</f>
        <v>85301.1</v>
      </c>
      <c r="D47" s="258">
        <f>D38+D46</f>
        <v>956628.09000000008</v>
      </c>
      <c r="E47" s="258">
        <f>E38+E46</f>
        <v>409983.46714285715</v>
      </c>
      <c r="F47" s="258">
        <f>F38+F46</f>
        <v>1366611.5571428572</v>
      </c>
    </row>
    <row r="48" spans="1:6">
      <c r="F48" s="222">
        <f>F47*12</f>
        <v>16399338.685714286</v>
      </c>
    </row>
  </sheetData>
  <mergeCells count="9">
    <mergeCell ref="A17:H17"/>
    <mergeCell ref="L2:M2"/>
    <mergeCell ref="L15:M15"/>
    <mergeCell ref="I2:K2"/>
    <mergeCell ref="I1:L1"/>
    <mergeCell ref="H2:H3"/>
    <mergeCell ref="A1:G1"/>
    <mergeCell ref="B2:D2"/>
    <mergeCell ref="E2:G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G31" sqref="G31"/>
    </sheetView>
  </sheetViews>
  <sheetFormatPr defaultRowHeight="12.75"/>
  <cols>
    <col min="1" max="1" width="29.5703125" customWidth="1"/>
    <col min="2" max="2" width="9.5703125" customWidth="1"/>
  </cols>
  <sheetData>
    <row r="1" spans="1:12">
      <c r="A1" s="613" t="s">
        <v>102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5"/>
    </row>
    <row r="2" spans="1:12">
      <c r="A2" s="36"/>
      <c r="B2" s="36" t="s">
        <v>103</v>
      </c>
      <c r="C2" s="36" t="s">
        <v>74</v>
      </c>
      <c r="D2" s="36" t="s">
        <v>75</v>
      </c>
      <c r="E2" s="30" t="s">
        <v>76</v>
      </c>
      <c r="F2" s="30" t="s">
        <v>77</v>
      </c>
      <c r="G2" s="30" t="s">
        <v>78</v>
      </c>
      <c r="H2" s="30" t="s">
        <v>104</v>
      </c>
      <c r="I2" s="30" t="s">
        <v>105</v>
      </c>
      <c r="J2" s="36" t="s">
        <v>81</v>
      </c>
      <c r="K2" s="36" t="s">
        <v>106</v>
      </c>
      <c r="L2" s="36" t="s">
        <v>44</v>
      </c>
    </row>
    <row r="3" spans="1:12">
      <c r="A3" s="376" t="s">
        <v>12</v>
      </c>
      <c r="B3" s="376" t="e">
        <f>Терней!#REF!</f>
        <v>#REF!</v>
      </c>
      <c r="C3" s="376" t="e">
        <f>Пластун!#REF!</f>
        <v>#REF!</v>
      </c>
      <c r="D3" s="376" t="e">
        <f>Светлая!#REF!</f>
        <v>#REF!</v>
      </c>
      <c r="E3" s="376"/>
      <c r="F3" s="376"/>
      <c r="G3" s="376" t="e">
        <f>Максимовка!#REF!</f>
        <v>#REF!</v>
      </c>
      <c r="H3" s="376" t="e">
        <f>'У-Собол'!#REF!</f>
        <v>#REF!</v>
      </c>
      <c r="I3" s="376"/>
      <c r="J3" s="376"/>
      <c r="K3" s="376"/>
      <c r="L3" s="376" t="e">
        <f>SUM(B3:K3)</f>
        <v>#REF!</v>
      </c>
    </row>
    <row r="4" spans="1:12">
      <c r="A4" s="321" t="s">
        <v>212</v>
      </c>
      <c r="B4" s="321">
        <v>1</v>
      </c>
      <c r="C4" s="321">
        <v>1</v>
      </c>
      <c r="D4" s="321">
        <v>0.3</v>
      </c>
      <c r="E4" s="321"/>
      <c r="F4" s="321"/>
      <c r="G4" s="321">
        <v>0.25</v>
      </c>
      <c r="H4" s="321">
        <v>0.25</v>
      </c>
      <c r="I4" s="321"/>
      <c r="J4" s="321"/>
      <c r="K4" s="321"/>
      <c r="L4" s="321">
        <f>SUM(B4:K4)</f>
        <v>2.8</v>
      </c>
    </row>
    <row r="5" spans="1:12">
      <c r="A5" s="376" t="s">
        <v>199</v>
      </c>
      <c r="B5" s="376" t="e">
        <f>Терней!#REF!</f>
        <v>#REF!</v>
      </c>
      <c r="C5" s="376" t="e">
        <f>Пластун!#REF!</f>
        <v>#REF!</v>
      </c>
      <c r="D5" s="376" t="e">
        <f>Светлая!#REF!</f>
        <v>#REF!</v>
      </c>
      <c r="E5" s="376" t="e">
        <f>М.Кема!#REF!</f>
        <v>#REF!</v>
      </c>
      <c r="F5" s="376" t="e">
        <f>АМГУ!#REF!</f>
        <v>#REF!</v>
      </c>
      <c r="G5" s="376" t="e">
        <f>Максимовка!#REF!</f>
        <v>#REF!</v>
      </c>
      <c r="H5" s="376" t="e">
        <f>'У-Собол'!#REF!</f>
        <v>#REF!</v>
      </c>
      <c r="I5" s="377" t="e">
        <f>Перетычиха!#REF!</f>
        <v>#REF!</v>
      </c>
      <c r="J5" s="376" t="e">
        <f>Самарга!#REF!</f>
        <v>#REF!</v>
      </c>
      <c r="K5" s="376" t="e">
        <f>АГЗУ!#REF!</f>
        <v>#REF!</v>
      </c>
      <c r="L5" s="376" t="e">
        <f>SUM(B5:K5)</f>
        <v>#REF!</v>
      </c>
    </row>
    <row r="6" spans="1:12">
      <c r="A6" s="36" t="s">
        <v>205</v>
      </c>
      <c r="B6" s="36">
        <v>3658</v>
      </c>
      <c r="C6" s="36">
        <v>5865</v>
      </c>
      <c r="D6" s="30">
        <v>570</v>
      </c>
      <c r="E6" s="30">
        <v>1528</v>
      </c>
      <c r="F6" s="30">
        <v>598.9</v>
      </c>
      <c r="G6" s="30">
        <v>568.79999999999995</v>
      </c>
      <c r="H6" s="30">
        <v>547</v>
      </c>
      <c r="I6" s="162">
        <v>408</v>
      </c>
      <c r="J6" s="36">
        <v>261.3</v>
      </c>
      <c r="K6" s="36">
        <v>233.5</v>
      </c>
      <c r="L6" s="36">
        <f>SUM(B6:K6)</f>
        <v>14238.499999999998</v>
      </c>
    </row>
    <row r="7" spans="1:12">
      <c r="A7" s="36" t="s">
        <v>208</v>
      </c>
      <c r="B7" s="36">
        <v>3999.7</v>
      </c>
      <c r="C7" s="36">
        <v>7605.3</v>
      </c>
      <c r="D7" s="30"/>
      <c r="E7" s="30">
        <v>1463.5</v>
      </c>
      <c r="F7" s="30">
        <v>1330.1</v>
      </c>
      <c r="G7" s="30">
        <v>568.79999999999995</v>
      </c>
      <c r="H7" s="30">
        <v>392.1</v>
      </c>
      <c r="I7" s="322">
        <v>767.4</v>
      </c>
      <c r="J7" s="36">
        <v>261.3</v>
      </c>
      <c r="K7" s="36">
        <v>233.5</v>
      </c>
      <c r="L7" s="36">
        <f>SUM(B7:K7)</f>
        <v>16621.7</v>
      </c>
    </row>
    <row r="8" spans="1:12">
      <c r="A8" s="36" t="s">
        <v>206</v>
      </c>
      <c r="B8" s="36">
        <v>500</v>
      </c>
      <c r="C8" s="36">
        <v>500</v>
      </c>
      <c r="D8" s="36">
        <v>500</v>
      </c>
      <c r="E8" s="36">
        <v>500</v>
      </c>
      <c r="F8" s="36">
        <v>500</v>
      </c>
      <c r="G8" s="36">
        <v>500</v>
      </c>
      <c r="H8" s="36">
        <v>500</v>
      </c>
      <c r="I8" s="36">
        <v>500</v>
      </c>
      <c r="J8" s="36">
        <v>500</v>
      </c>
      <c r="K8" s="36">
        <v>500</v>
      </c>
      <c r="L8" s="36">
        <v>500</v>
      </c>
    </row>
    <row r="9" spans="1:12">
      <c r="A9" s="36" t="s">
        <v>207</v>
      </c>
      <c r="B9" s="36">
        <f>B6/B8</f>
        <v>7.3159999999999998</v>
      </c>
      <c r="C9" s="36">
        <f t="shared" ref="C9:K9" si="0">C6/C8</f>
        <v>11.73</v>
      </c>
      <c r="D9" s="36">
        <f t="shared" si="0"/>
        <v>1.1399999999999999</v>
      </c>
      <c r="E9" s="36">
        <f t="shared" si="0"/>
        <v>3.056</v>
      </c>
      <c r="F9" s="36">
        <f t="shared" si="0"/>
        <v>1.1978</v>
      </c>
      <c r="G9" s="36">
        <f t="shared" si="0"/>
        <v>1.1375999999999999</v>
      </c>
      <c r="H9" s="36">
        <f t="shared" si="0"/>
        <v>1.0940000000000001</v>
      </c>
      <c r="I9" s="36">
        <f t="shared" si="0"/>
        <v>0.81599999999999995</v>
      </c>
      <c r="J9" s="36">
        <f t="shared" si="0"/>
        <v>0.52260000000000006</v>
      </c>
      <c r="K9" s="36">
        <f t="shared" si="0"/>
        <v>0.46700000000000003</v>
      </c>
      <c r="L9" s="36">
        <f>SUM(B9:K9)</f>
        <v>28.477</v>
      </c>
    </row>
    <row r="10" spans="1:12">
      <c r="A10" s="321" t="s">
        <v>217</v>
      </c>
      <c r="B10" s="321">
        <v>7</v>
      </c>
      <c r="C10" s="321">
        <v>11</v>
      </c>
      <c r="D10" s="321">
        <v>1.1000000000000001</v>
      </c>
      <c r="E10" s="321">
        <v>2.5</v>
      </c>
      <c r="F10" s="321"/>
      <c r="G10" s="321">
        <v>1.1000000000000001</v>
      </c>
      <c r="H10" s="321">
        <v>1.2</v>
      </c>
      <c r="I10" s="322">
        <v>1.2</v>
      </c>
      <c r="J10" s="321">
        <v>0.6</v>
      </c>
      <c r="K10" s="321">
        <v>0.5</v>
      </c>
      <c r="L10" s="321">
        <f>SUM(B10:K10)</f>
        <v>26.200000000000003</v>
      </c>
    </row>
    <row r="11" spans="1:12">
      <c r="A11" s="376" t="s">
        <v>197</v>
      </c>
      <c r="B11" s="376" t="e">
        <f>Терней!#REF!</f>
        <v>#REF!</v>
      </c>
      <c r="C11" s="376" t="e">
        <f>Пластун!#REF!</f>
        <v>#REF!</v>
      </c>
      <c r="D11" s="376"/>
      <c r="E11" s="376"/>
      <c r="F11" s="376"/>
      <c r="G11" s="376"/>
      <c r="H11" s="376"/>
      <c r="I11" s="376"/>
      <c r="J11" s="376"/>
      <c r="K11" s="376"/>
      <c r="L11" s="376" t="e">
        <f>SUM(B11:K11)</f>
        <v>#REF!</v>
      </c>
    </row>
    <row r="12" spans="1:12">
      <c r="A12" s="321" t="s">
        <v>216</v>
      </c>
      <c r="B12" s="321">
        <v>1</v>
      </c>
      <c r="C12" s="321">
        <v>1</v>
      </c>
      <c r="D12" s="321"/>
      <c r="E12" s="321"/>
      <c r="F12" s="321"/>
      <c r="G12" s="321"/>
      <c r="H12" s="321"/>
      <c r="I12" s="321"/>
      <c r="J12" s="321"/>
      <c r="K12" s="321"/>
      <c r="L12" s="321"/>
    </row>
    <row r="13" spans="1:12">
      <c r="A13" s="376" t="s">
        <v>198</v>
      </c>
      <c r="B13" s="376" t="e">
        <f>Терней!#REF!</f>
        <v>#REF!</v>
      </c>
      <c r="C13" s="376"/>
      <c r="D13" s="376">
        <f>Светлая!B24</f>
        <v>0.5</v>
      </c>
      <c r="E13" s="376">
        <f>Светлая!B24</f>
        <v>0.5</v>
      </c>
      <c r="F13" s="376" t="e">
        <f>АМГУ!#REF!</f>
        <v>#REF!</v>
      </c>
      <c r="G13" s="376"/>
      <c r="H13" s="376"/>
      <c r="I13" s="377"/>
      <c r="J13" s="376"/>
      <c r="K13" s="376"/>
      <c r="L13" s="376" t="e">
        <f>SUM(B13:K13)</f>
        <v>#REF!</v>
      </c>
    </row>
    <row r="14" spans="1:12">
      <c r="A14" s="321" t="s">
        <v>209</v>
      </c>
      <c r="B14" s="321">
        <v>1</v>
      </c>
      <c r="C14" s="321"/>
      <c r="D14" s="321">
        <v>0.5</v>
      </c>
      <c r="E14" s="321">
        <v>0.5</v>
      </c>
      <c r="F14" s="321">
        <v>0.5</v>
      </c>
      <c r="G14" s="321"/>
      <c r="H14" s="321"/>
      <c r="I14" s="322"/>
      <c r="J14" s="321"/>
      <c r="K14" s="321"/>
      <c r="L14" s="321"/>
    </row>
    <row r="15" spans="1:12">
      <c r="A15" s="376" t="s">
        <v>54</v>
      </c>
      <c r="B15" s="376"/>
      <c r="C15" s="376"/>
      <c r="D15" s="376" t="e">
        <f>Светлая!#REF!</f>
        <v>#REF!</v>
      </c>
      <c r="E15" s="376" t="e">
        <f>М.Кема!#REF!</f>
        <v>#REF!</v>
      </c>
      <c r="F15" s="376" t="e">
        <f>АМГУ!#REF!</f>
        <v>#REF!</v>
      </c>
      <c r="G15" s="376" t="e">
        <f>АМГУ!#REF!</f>
        <v>#REF!</v>
      </c>
      <c r="H15" s="376" t="e">
        <f>'У-Собол'!#REF!</f>
        <v>#REF!</v>
      </c>
      <c r="I15" s="377" t="e">
        <f>Перетычиха!#REF!</f>
        <v>#REF!</v>
      </c>
      <c r="J15" s="376" t="e">
        <f>Самарга!#REF!</f>
        <v>#REF!</v>
      </c>
      <c r="K15" s="376" t="e">
        <f>АГЗУ!#REF!</f>
        <v>#REF!</v>
      </c>
      <c r="L15" s="376" t="e">
        <f>SUM(B15:K15)</f>
        <v>#REF!</v>
      </c>
    </row>
    <row r="16" spans="1:12">
      <c r="A16" s="321" t="s">
        <v>213</v>
      </c>
      <c r="B16" s="321">
        <f>B15</f>
        <v>0</v>
      </c>
      <c r="C16" s="321">
        <f t="shared" ref="C16:K16" si="1">C15</f>
        <v>0</v>
      </c>
      <c r="D16" s="321" t="e">
        <f t="shared" si="1"/>
        <v>#REF!</v>
      </c>
      <c r="E16" s="321" t="e">
        <f t="shared" si="1"/>
        <v>#REF!</v>
      </c>
      <c r="F16" s="321" t="e">
        <f t="shared" si="1"/>
        <v>#REF!</v>
      </c>
      <c r="G16" s="321" t="e">
        <f t="shared" si="1"/>
        <v>#REF!</v>
      </c>
      <c r="H16" s="321" t="e">
        <f t="shared" si="1"/>
        <v>#REF!</v>
      </c>
      <c r="I16" s="321" t="e">
        <f t="shared" si="1"/>
        <v>#REF!</v>
      </c>
      <c r="J16" s="321" t="e">
        <f t="shared" si="1"/>
        <v>#REF!</v>
      </c>
      <c r="K16" s="321" t="e">
        <f t="shared" si="1"/>
        <v>#REF!</v>
      </c>
      <c r="L16" s="321"/>
    </row>
    <row r="17" spans="1:12">
      <c r="A17" s="376" t="s">
        <v>14</v>
      </c>
      <c r="B17" s="376">
        <f>Терней!B32</f>
        <v>3</v>
      </c>
      <c r="C17" s="376">
        <f>Пластун!B40</f>
        <v>6</v>
      </c>
      <c r="D17" s="376">
        <f>Светлая!B28</f>
        <v>2</v>
      </c>
      <c r="E17" s="376">
        <f>Светлая!B28</f>
        <v>2</v>
      </c>
      <c r="F17" s="376">
        <f>АМГУ!B207</f>
        <v>2</v>
      </c>
      <c r="G17" s="376">
        <f>Максимовка!B60</f>
        <v>2</v>
      </c>
      <c r="H17" s="376">
        <f>'У-Собол'!B22</f>
        <v>2</v>
      </c>
      <c r="I17" s="377">
        <f>Перетычиха!B22</f>
        <v>2</v>
      </c>
      <c r="J17" s="376">
        <f>Самарга!C22</f>
        <v>2</v>
      </c>
      <c r="K17" s="376">
        <f>АГЗУ!B23</f>
        <v>2</v>
      </c>
      <c r="L17" s="376">
        <f>SUM(B17:K17)</f>
        <v>25</v>
      </c>
    </row>
    <row r="18" spans="1:12">
      <c r="A18" s="321" t="s">
        <v>215</v>
      </c>
      <c r="B18" s="321">
        <v>3</v>
      </c>
      <c r="C18" s="321">
        <v>6</v>
      </c>
      <c r="D18" s="321">
        <v>2</v>
      </c>
      <c r="E18" s="321">
        <v>2</v>
      </c>
      <c r="F18" s="321">
        <v>2</v>
      </c>
      <c r="G18" s="321">
        <v>2</v>
      </c>
      <c r="H18" s="321">
        <v>2</v>
      </c>
      <c r="I18" s="322">
        <v>2</v>
      </c>
      <c r="J18" s="321">
        <v>2</v>
      </c>
      <c r="K18" s="321">
        <v>2</v>
      </c>
      <c r="L18" s="321">
        <f>SUM(B18:K18)</f>
        <v>25</v>
      </c>
    </row>
    <row r="19" spans="1:12">
      <c r="A19" s="375" t="s">
        <v>204</v>
      </c>
      <c r="B19" s="375">
        <f>Терней!B33</f>
        <v>1</v>
      </c>
      <c r="C19" s="375">
        <f>Пластун!B41</f>
        <v>1</v>
      </c>
      <c r="D19" s="375">
        <f>Светлая!B29</f>
        <v>0.5</v>
      </c>
      <c r="E19" s="375">
        <f>М.Кема!B27</f>
        <v>0.5</v>
      </c>
      <c r="F19" s="375">
        <f>АМГУ!B211</f>
        <v>0.5</v>
      </c>
      <c r="G19" s="375">
        <f>Максимовка!B64</f>
        <v>0.5</v>
      </c>
      <c r="H19" s="375">
        <f>'У-Собол'!B26</f>
        <v>0.5</v>
      </c>
      <c r="I19" s="378">
        <f>Перетычиха!B26</f>
        <v>0.5</v>
      </c>
      <c r="J19" s="375"/>
      <c r="K19" s="375"/>
      <c r="L19" s="375">
        <f>SUM(B19:K19)</f>
        <v>5</v>
      </c>
    </row>
    <row r="20" spans="1:12">
      <c r="A20" s="321" t="s">
        <v>214</v>
      </c>
      <c r="B20" s="321">
        <f>B19</f>
        <v>1</v>
      </c>
      <c r="C20" s="321">
        <f t="shared" ref="C20:K20" si="2">C19</f>
        <v>1</v>
      </c>
      <c r="D20" s="321">
        <f t="shared" si="2"/>
        <v>0.5</v>
      </c>
      <c r="E20" s="321">
        <f t="shared" si="2"/>
        <v>0.5</v>
      </c>
      <c r="F20" s="321">
        <f t="shared" si="2"/>
        <v>0.5</v>
      </c>
      <c r="G20" s="321">
        <f t="shared" si="2"/>
        <v>0.5</v>
      </c>
      <c r="H20" s="321">
        <f t="shared" si="2"/>
        <v>0.5</v>
      </c>
      <c r="I20" s="321">
        <f t="shared" si="2"/>
        <v>0.5</v>
      </c>
      <c r="J20" s="321">
        <f t="shared" si="2"/>
        <v>0</v>
      </c>
      <c r="K20" s="321">
        <f t="shared" si="2"/>
        <v>0</v>
      </c>
      <c r="L20" s="321"/>
    </row>
    <row r="21" spans="1:12">
      <c r="A21" s="379" t="s">
        <v>210</v>
      </c>
      <c r="B21" s="375" t="e">
        <f>B3+B5+B11+B13+B15+B17+B19</f>
        <v>#REF!</v>
      </c>
      <c r="C21" s="375" t="e">
        <f t="shared" ref="C21:K21" si="3">C3+C5+C11+C13+C15+C17+C19</f>
        <v>#REF!</v>
      </c>
      <c r="D21" s="375" t="e">
        <f t="shared" si="3"/>
        <v>#REF!</v>
      </c>
      <c r="E21" s="375" t="e">
        <f t="shared" si="3"/>
        <v>#REF!</v>
      </c>
      <c r="F21" s="375" t="e">
        <f t="shared" si="3"/>
        <v>#REF!</v>
      </c>
      <c r="G21" s="375" t="e">
        <f t="shared" si="3"/>
        <v>#REF!</v>
      </c>
      <c r="H21" s="375" t="e">
        <f t="shared" si="3"/>
        <v>#REF!</v>
      </c>
      <c r="I21" s="375" t="e">
        <f t="shared" si="3"/>
        <v>#REF!</v>
      </c>
      <c r="J21" s="375" t="e">
        <f t="shared" si="3"/>
        <v>#REF!</v>
      </c>
      <c r="K21" s="375" t="e">
        <f t="shared" si="3"/>
        <v>#REF!</v>
      </c>
      <c r="L21" s="375" t="e">
        <f>SUM(B21:K21)</f>
        <v>#REF!</v>
      </c>
    </row>
    <row r="22" spans="1:12">
      <c r="A22" s="380" t="s">
        <v>211</v>
      </c>
      <c r="B22" s="336">
        <f>B4+B10+B12+B14+B16+B18+B20</f>
        <v>14</v>
      </c>
      <c r="C22" s="336">
        <f t="shared" ref="C22:K22" si="4">C4+C10+C12+C14+C16+C18+C20</f>
        <v>20</v>
      </c>
      <c r="D22" s="336" t="e">
        <f t="shared" si="4"/>
        <v>#REF!</v>
      </c>
      <c r="E22" s="336" t="e">
        <f t="shared" si="4"/>
        <v>#REF!</v>
      </c>
      <c r="F22" s="336" t="e">
        <f t="shared" si="4"/>
        <v>#REF!</v>
      </c>
      <c r="G22" s="336" t="e">
        <f t="shared" si="4"/>
        <v>#REF!</v>
      </c>
      <c r="H22" s="336" t="e">
        <f t="shared" si="4"/>
        <v>#REF!</v>
      </c>
      <c r="I22" s="336" t="e">
        <f t="shared" si="4"/>
        <v>#REF!</v>
      </c>
      <c r="J22" s="336" t="e">
        <f t="shared" si="4"/>
        <v>#REF!</v>
      </c>
      <c r="K22" s="336" t="e">
        <f t="shared" si="4"/>
        <v>#REF!</v>
      </c>
      <c r="L22" s="336" t="e">
        <f>SUM(B22:K22)</f>
        <v>#REF!</v>
      </c>
    </row>
    <row r="23" spans="1:12">
      <c r="L23" s="381" t="e">
        <f>L22-L21</f>
        <v>#REF!</v>
      </c>
    </row>
    <row r="27" spans="1:12">
      <c r="A27" s="374"/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tabColor rgb="FFFF0000"/>
  </sheetPr>
  <dimension ref="A1:AF37"/>
  <sheetViews>
    <sheetView topLeftCell="A7" zoomScaleNormal="100" zoomScaleSheetLayoutView="100" workbookViewId="0">
      <pane xSplit="19290" topLeftCell="CT1"/>
      <selection activeCell="I26" sqref="I26"/>
      <selection pane="topRight" activeCell="CT137" sqref="CT137"/>
    </sheetView>
  </sheetViews>
  <sheetFormatPr defaultRowHeight="12.75"/>
  <cols>
    <col min="1" max="1" width="32.5703125" customWidth="1"/>
    <col min="2" max="4" width="7.7109375" customWidth="1"/>
    <col min="5" max="5" width="10.28515625" customWidth="1"/>
    <col min="6" max="6" width="8" customWidth="1"/>
    <col min="7" max="9" width="8.5703125" customWidth="1"/>
    <col min="10" max="10" width="7" customWidth="1"/>
    <col min="11" max="11" width="11.5703125" customWidth="1"/>
    <col min="12" max="13" width="11.140625" customWidth="1"/>
    <col min="14" max="14" width="9.7109375" bestFit="1" customWidth="1"/>
    <col min="15" max="15" width="12.85546875" customWidth="1"/>
    <col min="16" max="16" width="10.85546875" hidden="1" customWidth="1"/>
    <col min="17" max="17" width="11.42578125" customWidth="1"/>
    <col min="18" max="18" width="9" customWidth="1"/>
    <col min="19" max="19" width="6.85546875" customWidth="1"/>
    <col min="20" max="20" width="9.85546875" customWidth="1"/>
    <col min="21" max="21" width="6.5703125" customWidth="1"/>
    <col min="22" max="23" width="6.42578125" customWidth="1"/>
    <col min="24" max="24" width="8.42578125" customWidth="1"/>
    <col min="25" max="26" width="9.28515625" customWidth="1"/>
    <col min="27" max="27" width="12.140625" customWidth="1"/>
    <col min="28" max="28" width="7.28515625" customWidth="1"/>
    <col min="29" max="29" width="6.7109375" customWidth="1"/>
    <col min="30" max="30" width="10" customWidth="1"/>
    <col min="31" max="31" width="9" customWidth="1"/>
    <col min="32" max="32" width="9.28515625" hidden="1" customWidth="1"/>
    <col min="33" max="33" width="14.140625" customWidth="1"/>
    <col min="34" max="34" width="6.140625" customWidth="1"/>
    <col min="35" max="36" width="7" customWidth="1"/>
    <col min="38" max="38" width="7" customWidth="1"/>
    <col min="39" max="39" width="6.42578125" customWidth="1"/>
    <col min="40" max="40" width="4.85546875" customWidth="1"/>
    <col min="41" max="41" width="8.7109375" customWidth="1"/>
    <col min="42" max="42" width="8.5703125" customWidth="1"/>
    <col min="43" max="43" width="9.5703125" customWidth="1"/>
    <col min="44" max="44" width="10.5703125" customWidth="1"/>
    <col min="45" max="45" width="7.85546875" customWidth="1"/>
    <col min="46" max="46" width="8.42578125" customWidth="1"/>
    <col min="47" max="47" width="10.140625" customWidth="1"/>
    <col min="48" max="48" width="12.85546875" customWidth="1"/>
    <col min="49" max="49" width="15.5703125" customWidth="1"/>
    <col min="50" max="50" width="6.140625" customWidth="1"/>
    <col min="51" max="51" width="7" customWidth="1"/>
    <col min="52" max="52" width="8.5703125" customWidth="1"/>
    <col min="53" max="53" width="9.5703125" customWidth="1"/>
    <col min="54" max="55" width="8.7109375" customWidth="1"/>
    <col min="56" max="56" width="7.42578125" customWidth="1"/>
    <col min="57" max="57" width="7.7109375" customWidth="1"/>
    <col min="58" max="58" width="9.85546875" customWidth="1"/>
    <col min="59" max="59" width="8.7109375" customWidth="1"/>
    <col min="60" max="60" width="10.5703125" customWidth="1"/>
    <col min="61" max="61" width="10" customWidth="1"/>
    <col min="62" max="62" width="7.7109375" customWidth="1"/>
    <col min="63" max="63" width="9.5703125" customWidth="1"/>
    <col min="64" max="64" width="10.42578125" customWidth="1"/>
    <col min="65" max="65" width="1.85546875" customWidth="1"/>
    <col min="66" max="66" width="3.42578125" customWidth="1"/>
    <col min="67" max="67" width="15.7109375" customWidth="1"/>
    <col min="68" max="68" width="6.140625" customWidth="1"/>
    <col min="69" max="69" width="6.7109375" customWidth="1"/>
    <col min="70" max="70" width="7.42578125" customWidth="1"/>
    <col min="72" max="72" width="7.85546875" customWidth="1"/>
    <col min="73" max="73" width="6.85546875" customWidth="1"/>
    <col min="74" max="74" width="7.140625" customWidth="1"/>
    <col min="75" max="75" width="7.42578125" customWidth="1"/>
    <col min="76" max="76" width="8.5703125" customWidth="1"/>
    <col min="78" max="78" width="9.85546875" customWidth="1"/>
    <col min="79" max="79" width="8" customWidth="1"/>
    <col min="80" max="80" width="7.5703125" customWidth="1"/>
    <col min="81" max="81" width="10.28515625" customWidth="1"/>
    <col min="82" max="82" width="10" customWidth="1"/>
    <col min="83" max="83" width="8.42578125" customWidth="1"/>
    <col min="84" max="84" width="15.5703125" customWidth="1"/>
    <col min="85" max="85" width="6" customWidth="1"/>
    <col min="86" max="86" width="6.85546875" customWidth="1"/>
    <col min="87" max="87" width="7.140625" customWidth="1"/>
    <col min="88" max="88" width="10.140625" customWidth="1"/>
    <col min="89" max="89" width="7.7109375" customWidth="1"/>
    <col min="90" max="90" width="6.5703125" customWidth="1"/>
    <col min="91" max="92" width="7.140625" customWidth="1"/>
    <col min="93" max="93" width="8.42578125" customWidth="1"/>
    <col min="94" max="94" width="9.28515625" bestFit="1" customWidth="1"/>
    <col min="95" max="95" width="10" customWidth="1"/>
    <col min="96" max="96" width="7.28515625" customWidth="1"/>
    <col min="97" max="97" width="7.42578125" customWidth="1"/>
    <col min="98" max="98" width="10.42578125" customWidth="1"/>
    <col min="99" max="99" width="9.85546875" bestFit="1" customWidth="1"/>
  </cols>
  <sheetData>
    <row r="1" spans="1:15" ht="15.75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109</v>
      </c>
      <c r="L1" s="449"/>
      <c r="M1" s="449"/>
    </row>
    <row r="2" spans="1:15" ht="15.75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449"/>
      <c r="L2" s="449"/>
      <c r="M2" s="449"/>
    </row>
    <row r="3" spans="1:15" ht="15.75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</row>
    <row r="4" spans="1:15" ht="15.75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</row>
    <row r="5" spans="1:15" ht="18.75">
      <c r="A5" s="113"/>
      <c r="B5" s="452" t="s">
        <v>248</v>
      </c>
      <c r="C5" s="452"/>
      <c r="D5" s="452"/>
      <c r="E5" s="452"/>
      <c r="F5" s="452"/>
      <c r="G5" s="452"/>
      <c r="H5" s="452"/>
      <c r="I5" s="452"/>
      <c r="J5" s="452"/>
      <c r="K5" s="115"/>
      <c r="L5" s="120" t="s">
        <v>112</v>
      </c>
      <c r="M5" s="121"/>
    </row>
    <row r="6" spans="1:15" ht="15.75">
      <c r="A6" s="113"/>
      <c r="B6" s="113"/>
      <c r="C6" s="113"/>
      <c r="D6" s="113"/>
      <c r="E6" s="122" t="s">
        <v>113</v>
      </c>
      <c r="F6" s="453" t="s">
        <v>114</v>
      </c>
      <c r="G6" s="453"/>
      <c r="H6" s="114"/>
      <c r="I6" s="114"/>
      <c r="J6" s="480" t="s">
        <v>115</v>
      </c>
      <c r="K6" s="480"/>
      <c r="L6" s="480"/>
      <c r="M6" s="480"/>
      <c r="N6" s="102"/>
      <c r="O6" s="102"/>
    </row>
    <row r="7" spans="1:15" ht="15.75">
      <c r="A7" s="455" t="s">
        <v>116</v>
      </c>
      <c r="B7" s="455"/>
      <c r="C7" s="455"/>
      <c r="D7" s="164"/>
      <c r="E7" s="119">
        <v>3</v>
      </c>
      <c r="F7" s="456" t="s">
        <v>277</v>
      </c>
      <c r="G7" s="456"/>
      <c r="H7" s="114"/>
      <c r="I7" s="114"/>
      <c r="J7" s="226" t="s">
        <v>244</v>
      </c>
      <c r="K7" s="226"/>
      <c r="L7" s="226"/>
      <c r="M7" s="226"/>
      <c r="N7" s="102"/>
      <c r="O7" s="102"/>
    </row>
    <row r="8" spans="1:15" ht="15.75">
      <c r="A8" s="462" t="s">
        <v>278</v>
      </c>
      <c r="B8" s="462"/>
      <c r="C8" s="462"/>
      <c r="D8" s="462"/>
      <c r="E8" s="462"/>
      <c r="F8" s="462"/>
      <c r="G8" s="462"/>
      <c r="H8" s="114"/>
      <c r="I8" s="114"/>
      <c r="J8" s="226" t="s">
        <v>118</v>
      </c>
      <c r="K8" s="226"/>
      <c r="L8" s="229">
        <f>B31</f>
        <v>24.61</v>
      </c>
      <c r="M8" s="226" t="s">
        <v>119</v>
      </c>
      <c r="N8" s="102"/>
      <c r="O8" s="102"/>
    </row>
    <row r="9" spans="1:15" ht="15.75">
      <c r="A9" s="465"/>
      <c r="B9" s="465"/>
      <c r="C9" s="465"/>
      <c r="D9" s="465"/>
      <c r="E9" s="465"/>
      <c r="F9" s="465"/>
      <c r="G9" s="465"/>
      <c r="H9" s="126"/>
      <c r="I9" s="126"/>
      <c r="J9" s="230" t="s">
        <v>173</v>
      </c>
      <c r="K9" s="230"/>
      <c r="L9" s="230"/>
      <c r="M9" s="230"/>
      <c r="N9" s="231"/>
      <c r="O9" s="102"/>
    </row>
    <row r="10" spans="1:15">
      <c r="A10" s="477"/>
      <c r="B10" s="477"/>
      <c r="C10" s="477"/>
      <c r="D10" s="477"/>
      <c r="E10" s="477"/>
      <c r="F10" s="477"/>
      <c r="G10" s="477"/>
      <c r="H10" s="439"/>
      <c r="I10" s="439"/>
      <c r="J10" s="439"/>
      <c r="K10" s="439"/>
      <c r="L10" s="439"/>
      <c r="M10" s="439"/>
      <c r="N10" s="439"/>
      <c r="O10" s="439"/>
    </row>
    <row r="11" spans="1:15">
      <c r="A11" s="468" t="s">
        <v>56</v>
      </c>
      <c r="B11" s="468" t="s">
        <v>10</v>
      </c>
      <c r="C11" s="473" t="s">
        <v>69</v>
      </c>
      <c r="D11" s="474" t="s">
        <v>233</v>
      </c>
      <c r="E11" s="468" t="s">
        <v>11</v>
      </c>
      <c r="F11" s="478" t="s">
        <v>96</v>
      </c>
      <c r="G11" s="478"/>
      <c r="H11" s="478"/>
      <c r="I11" s="478"/>
      <c r="J11" s="478"/>
      <c r="K11" s="478"/>
      <c r="L11" s="478"/>
      <c r="M11" s="478"/>
      <c r="N11" s="474" t="s">
        <v>84</v>
      </c>
      <c r="O11" s="472" t="s">
        <v>28</v>
      </c>
    </row>
    <row r="12" spans="1:15" ht="22.5">
      <c r="A12" s="468"/>
      <c r="B12" s="468"/>
      <c r="C12" s="473"/>
      <c r="D12" s="475"/>
      <c r="E12" s="468"/>
      <c r="F12" s="56" t="s">
        <v>16</v>
      </c>
      <c r="G12" s="56" t="s">
        <v>17</v>
      </c>
      <c r="H12" s="56" t="s">
        <v>59</v>
      </c>
      <c r="I12" s="56" t="s">
        <v>41</v>
      </c>
      <c r="J12" s="56" t="s">
        <v>55</v>
      </c>
      <c r="K12" s="56" t="s">
        <v>47</v>
      </c>
      <c r="L12" s="56" t="s">
        <v>150</v>
      </c>
      <c r="M12" s="56" t="s">
        <v>48</v>
      </c>
      <c r="N12" s="475"/>
      <c r="O12" s="472"/>
    </row>
    <row r="13" spans="1:15">
      <c r="A13" s="479" t="s">
        <v>18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</row>
    <row r="14" spans="1:15">
      <c r="A14" s="57" t="s">
        <v>19</v>
      </c>
      <c r="B14" s="55">
        <v>1</v>
      </c>
      <c r="C14" s="55">
        <v>20999</v>
      </c>
      <c r="D14" s="55"/>
      <c r="E14" s="284">
        <f>B14*C14</f>
        <v>20999</v>
      </c>
      <c r="F14" s="284"/>
      <c r="G14" s="284"/>
      <c r="H14" s="284"/>
      <c r="I14" s="284"/>
      <c r="J14" s="284"/>
      <c r="K14" s="284">
        <f>SUM(E14:J14)</f>
        <v>20999</v>
      </c>
      <c r="L14" s="284">
        <f>K14*80%</f>
        <v>16799.2</v>
      </c>
      <c r="M14" s="284">
        <f>SUM(K14:L14)</f>
        <v>37798.199999999997</v>
      </c>
      <c r="N14" s="285"/>
      <c r="O14" s="284">
        <f>SUM(M14:M14)</f>
        <v>37798.199999999997</v>
      </c>
    </row>
    <row r="15" spans="1:15" ht="22.5">
      <c r="A15" s="59" t="s">
        <v>188</v>
      </c>
      <c r="B15" s="54">
        <v>1</v>
      </c>
      <c r="C15" s="54">
        <v>15309</v>
      </c>
      <c r="D15" s="54"/>
      <c r="E15" s="289">
        <f>B15*C15</f>
        <v>15309</v>
      </c>
      <c r="F15" s="289"/>
      <c r="G15" s="289"/>
      <c r="H15" s="289"/>
      <c r="I15" s="289"/>
      <c r="J15" s="289"/>
      <c r="K15" s="289">
        <f>SUM(E15:J15)</f>
        <v>15309</v>
      </c>
      <c r="L15" s="289">
        <f>K15*80%</f>
        <v>12247.2</v>
      </c>
      <c r="M15" s="289">
        <f>SUM(K15:L15)</f>
        <v>27556.2</v>
      </c>
      <c r="N15" s="290"/>
      <c r="O15" s="289">
        <f>SUM(M15:M15)</f>
        <v>27556.2</v>
      </c>
    </row>
    <row r="16" spans="1:15" ht="22.5">
      <c r="A16" s="59" t="s">
        <v>189</v>
      </c>
      <c r="B16" s="54">
        <v>0.5</v>
      </c>
      <c r="C16" s="54">
        <v>15309</v>
      </c>
      <c r="D16" s="54"/>
      <c r="E16" s="289">
        <f>B16*C16</f>
        <v>7654.5</v>
      </c>
      <c r="F16" s="289"/>
      <c r="G16" s="289"/>
      <c r="H16" s="289"/>
      <c r="I16" s="289"/>
      <c r="J16" s="289"/>
      <c r="K16" s="289">
        <f>SUM(E16:J16)</f>
        <v>7654.5</v>
      </c>
      <c r="L16" s="289">
        <f>K16*80%</f>
        <v>6123.6</v>
      </c>
      <c r="M16" s="289">
        <f>SUM(K16:L16)</f>
        <v>13778.1</v>
      </c>
      <c r="N16" s="290"/>
      <c r="O16" s="289">
        <f>SUM(M16:M16)</f>
        <v>13778.1</v>
      </c>
    </row>
    <row r="17" spans="1:16">
      <c r="A17" s="58" t="s">
        <v>15</v>
      </c>
      <c r="B17" s="63">
        <f>SUM(B14:B16)</f>
        <v>2.5</v>
      </c>
      <c r="C17" s="63"/>
      <c r="D17" s="63"/>
      <c r="E17" s="288">
        <f>SUM(E14:E16)</f>
        <v>43962.5</v>
      </c>
      <c r="F17" s="288"/>
      <c r="G17" s="288"/>
      <c r="H17" s="288"/>
      <c r="I17" s="288"/>
      <c r="J17" s="288"/>
      <c r="K17" s="288">
        <f>SUM(K14:K16)</f>
        <v>43962.5</v>
      </c>
      <c r="L17" s="288">
        <f>SUM(L14:L16)</f>
        <v>35170</v>
      </c>
      <c r="M17" s="288">
        <f>SUM(M14:M16)</f>
        <v>79132.5</v>
      </c>
      <c r="N17" s="288"/>
      <c r="O17" s="288">
        <f>SUM(O14:O16)</f>
        <v>79132.5</v>
      </c>
    </row>
    <row r="18" spans="1:16">
      <c r="A18" s="476" t="s">
        <v>22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</row>
    <row r="19" spans="1:16">
      <c r="A19" s="59" t="s">
        <v>200</v>
      </c>
      <c r="B19" s="135">
        <v>13.11</v>
      </c>
      <c r="C19" s="135">
        <v>12600</v>
      </c>
      <c r="D19" s="135">
        <v>1.08</v>
      </c>
      <c r="E19" s="286">
        <f>B19*C19*D19</f>
        <v>178400.88</v>
      </c>
      <c r="F19" s="286"/>
      <c r="G19" s="286"/>
      <c r="H19" s="286">
        <v>5040</v>
      </c>
      <c r="I19" s="286">
        <v>6367.55</v>
      </c>
      <c r="J19" s="286"/>
      <c r="K19" s="284">
        <f>SUM(E19:J19)</f>
        <v>189808.43</v>
      </c>
      <c r="L19" s="284">
        <v>14415.1</v>
      </c>
      <c r="M19" s="286">
        <f>L19+K19</f>
        <v>204223.53</v>
      </c>
      <c r="N19" s="285"/>
      <c r="O19" s="286">
        <f>M19</f>
        <v>204223.53</v>
      </c>
    </row>
    <row r="20" spans="1:16">
      <c r="A20" s="58" t="s">
        <v>15</v>
      </c>
      <c r="B20" s="288">
        <f>SUM(B19:B19)</f>
        <v>13.11</v>
      </c>
      <c r="C20" s="288"/>
      <c r="D20" s="288"/>
      <c r="E20" s="288">
        <f>SUM(E19:E19)</f>
        <v>178400.88</v>
      </c>
      <c r="F20" s="288"/>
      <c r="G20" s="288"/>
      <c r="H20" s="288">
        <f>SUM(H19:H19)</f>
        <v>5040</v>
      </c>
      <c r="I20" s="288">
        <f>SUM(I19:I19)</f>
        <v>6367.55</v>
      </c>
      <c r="J20" s="288"/>
      <c r="K20" s="288">
        <f>SUM(K19:K19)</f>
        <v>189808.43</v>
      </c>
      <c r="L20" s="288">
        <f>SUM(L19:L19)</f>
        <v>14415.1</v>
      </c>
      <c r="M20" s="288">
        <f>SUM(M19:M19)</f>
        <v>204223.53</v>
      </c>
      <c r="N20" s="288"/>
      <c r="O20" s="288">
        <f>SUM(O19:O19)</f>
        <v>204223.53</v>
      </c>
      <c r="P20" s="371">
        <f>O20/70*30+O20</f>
        <v>291747.90000000002</v>
      </c>
    </row>
    <row r="21" spans="1:16">
      <c r="A21" s="62" t="s">
        <v>190</v>
      </c>
      <c r="B21" s="288">
        <f>B20+B17</f>
        <v>15.61</v>
      </c>
      <c r="C21" s="288"/>
      <c r="D21" s="288"/>
      <c r="E21" s="288">
        <f>E20+E17</f>
        <v>222363.38</v>
      </c>
      <c r="F21" s="288"/>
      <c r="G21" s="288"/>
      <c r="H21" s="288">
        <f>H20+H17</f>
        <v>5040</v>
      </c>
      <c r="I21" s="288">
        <f>I20+I17</f>
        <v>6367.55</v>
      </c>
      <c r="J21" s="288"/>
      <c r="K21" s="288">
        <f>K20+K17</f>
        <v>233770.93</v>
      </c>
      <c r="L21" s="288">
        <f>L20+L17</f>
        <v>49585.1</v>
      </c>
      <c r="M21" s="288">
        <f>M20+M17</f>
        <v>283356.03000000003</v>
      </c>
      <c r="N21" s="288"/>
      <c r="O21" s="288">
        <f>O20+O17</f>
        <v>283356.03000000003</v>
      </c>
    </row>
    <row r="22" spans="1:16">
      <c r="A22" s="469" t="s">
        <v>4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1"/>
    </row>
    <row r="23" spans="1:16">
      <c r="A23" s="57" t="s">
        <v>35</v>
      </c>
      <c r="B23" s="55">
        <v>0.5</v>
      </c>
      <c r="C23" s="55">
        <v>5253</v>
      </c>
      <c r="D23" s="55"/>
      <c r="E23" s="284">
        <f t="shared" ref="E23:E29" si="0">B23*C23</f>
        <v>2626.5</v>
      </c>
      <c r="F23" s="284"/>
      <c r="G23" s="284"/>
      <c r="H23" s="284"/>
      <c r="I23" s="284"/>
      <c r="J23" s="284"/>
      <c r="K23" s="284">
        <f t="shared" ref="K23:K29" si="1">SUM(E23:J23)</f>
        <v>2626.5</v>
      </c>
      <c r="L23" s="284">
        <f t="shared" ref="L23:L29" si="2">K23*80%</f>
        <v>2101.2000000000003</v>
      </c>
      <c r="M23" s="284">
        <f>L23+K23</f>
        <v>4727.7000000000007</v>
      </c>
      <c r="N23" s="285">
        <f>N32*1.8*B23-(M23/70*30+M23)</f>
        <v>3398.142857142856</v>
      </c>
      <c r="O23" s="287">
        <f t="shared" ref="O23:O29" si="3">M23+N23</f>
        <v>8125.8428571428567</v>
      </c>
    </row>
    <row r="24" spans="1:16">
      <c r="A24" s="60" t="s">
        <v>3</v>
      </c>
      <c r="B24" s="61">
        <v>0.5</v>
      </c>
      <c r="C24" s="405">
        <v>6944</v>
      </c>
      <c r="D24" s="405"/>
      <c r="E24" s="287">
        <f t="shared" si="0"/>
        <v>3472</v>
      </c>
      <c r="F24" s="287"/>
      <c r="G24" s="287"/>
      <c r="H24" s="287"/>
      <c r="I24" s="287"/>
      <c r="J24" s="287"/>
      <c r="K24" s="284">
        <f t="shared" si="1"/>
        <v>3472</v>
      </c>
      <c r="L24" s="284">
        <f t="shared" si="2"/>
        <v>2777.6000000000004</v>
      </c>
      <c r="M24" s="284">
        <f>SUM(K24:L24)</f>
        <v>6249.6</v>
      </c>
      <c r="N24" s="285">
        <f>N32*1.8*B24-(M24/70*30+M24)</f>
        <v>1224</v>
      </c>
      <c r="O24" s="287">
        <f t="shared" si="3"/>
        <v>7473.6</v>
      </c>
    </row>
    <row r="25" spans="1:16">
      <c r="A25" s="60" t="s">
        <v>267</v>
      </c>
      <c r="B25" s="61">
        <v>0.5</v>
      </c>
      <c r="C25" s="405">
        <v>6768</v>
      </c>
      <c r="D25" s="405"/>
      <c r="E25" s="287">
        <f>B25*C25</f>
        <v>3384</v>
      </c>
      <c r="F25" s="287"/>
      <c r="G25" s="287"/>
      <c r="H25" s="287"/>
      <c r="I25" s="287"/>
      <c r="J25" s="287"/>
      <c r="K25" s="284">
        <f>SUM(E25:J25)</f>
        <v>3384</v>
      </c>
      <c r="L25" s="284">
        <f>K25*80%</f>
        <v>2707.2000000000003</v>
      </c>
      <c r="M25" s="284">
        <f>SUM(K25:L25)</f>
        <v>6091.2000000000007</v>
      </c>
      <c r="N25" s="285">
        <f>N32*1.8*B25-(M25/70*30+M25)</f>
        <v>1450.2857142857138</v>
      </c>
      <c r="O25" s="287">
        <f>M25+N25</f>
        <v>7541.4857142857145</v>
      </c>
    </row>
    <row r="26" spans="1:16">
      <c r="A26" s="318" t="s">
        <v>60</v>
      </c>
      <c r="B26" s="55">
        <v>1</v>
      </c>
      <c r="C26" s="55">
        <v>5253</v>
      </c>
      <c r="D26" s="55"/>
      <c r="E26" s="284">
        <f t="shared" si="0"/>
        <v>5253</v>
      </c>
      <c r="F26" s="284"/>
      <c r="G26" s="284"/>
      <c r="H26" s="284"/>
      <c r="I26" s="284"/>
      <c r="J26" s="284"/>
      <c r="K26" s="284">
        <f t="shared" si="1"/>
        <v>5253</v>
      </c>
      <c r="L26" s="284">
        <f t="shared" si="2"/>
        <v>4202.4000000000005</v>
      </c>
      <c r="M26" s="284">
        <f>L26+K26</f>
        <v>9455.4000000000015</v>
      </c>
      <c r="N26" s="285">
        <f>N32*1.8*B26-(M26/70*30+M26)</f>
        <v>6796.2857142857119</v>
      </c>
      <c r="O26" s="287">
        <f t="shared" si="3"/>
        <v>16251.685714285713</v>
      </c>
    </row>
    <row r="27" spans="1:16">
      <c r="A27" s="57" t="s">
        <v>245</v>
      </c>
      <c r="B27" s="55">
        <v>4</v>
      </c>
      <c r="C27" s="55">
        <v>5253</v>
      </c>
      <c r="D27" s="55"/>
      <c r="E27" s="284">
        <f t="shared" si="0"/>
        <v>21012</v>
      </c>
      <c r="F27" s="284">
        <f>C27/165.5*61*35%*B27</f>
        <v>2710.6114803625378</v>
      </c>
      <c r="G27" s="284">
        <f>C27*12/1986*288/12*B27</f>
        <v>3047.0574018126886</v>
      </c>
      <c r="H27" s="284"/>
      <c r="I27" s="284"/>
      <c r="J27" s="284"/>
      <c r="K27" s="284">
        <f t="shared" si="1"/>
        <v>26769.668882175229</v>
      </c>
      <c r="L27" s="284">
        <f t="shared" si="2"/>
        <v>21415.735105740183</v>
      </c>
      <c r="M27" s="284">
        <f>L27+K27</f>
        <v>48185.403987915415</v>
      </c>
      <c r="N27" s="285">
        <f>N32*1.8*B27-(M27/70*30+M27)</f>
        <v>12379.708588692258</v>
      </c>
      <c r="O27" s="287">
        <f t="shared" si="3"/>
        <v>60565.112576607673</v>
      </c>
    </row>
    <row r="28" spans="1:16">
      <c r="A28" s="59" t="s">
        <v>246</v>
      </c>
      <c r="B28" s="54">
        <v>2</v>
      </c>
      <c r="C28" s="54">
        <v>5253</v>
      </c>
      <c r="D28" s="54"/>
      <c r="E28" s="289">
        <f t="shared" si="0"/>
        <v>10506</v>
      </c>
      <c r="F28" s="289">
        <f>C28/165.5*61*35%*B28</f>
        <v>1355.3057401812689</v>
      </c>
      <c r="G28" s="289">
        <f>C28*12/1986*288/12*B28</f>
        <v>1523.5287009063443</v>
      </c>
      <c r="H28" s="289"/>
      <c r="I28" s="289"/>
      <c r="J28" s="289"/>
      <c r="K28" s="289">
        <f t="shared" si="1"/>
        <v>13384.834441087614</v>
      </c>
      <c r="L28" s="289">
        <f t="shared" si="2"/>
        <v>10707.867552870091</v>
      </c>
      <c r="M28" s="289">
        <f>L28+K28</f>
        <v>24092.701993957708</v>
      </c>
      <c r="N28" s="290">
        <f>N32*1.8*B28-(M28/70*30+M28)</f>
        <v>6189.8542943461289</v>
      </c>
      <c r="O28" s="291">
        <f t="shared" si="3"/>
        <v>30282.556288303836</v>
      </c>
    </row>
    <row r="29" spans="1:16" ht="21.75" customHeight="1">
      <c r="A29" s="129" t="s">
        <v>252</v>
      </c>
      <c r="B29" s="54">
        <v>0.5</v>
      </c>
      <c r="C29" s="54">
        <v>5253</v>
      </c>
      <c r="D29" s="55"/>
      <c r="E29" s="289">
        <f t="shared" si="0"/>
        <v>2626.5</v>
      </c>
      <c r="F29" s="289"/>
      <c r="G29" s="289"/>
      <c r="H29" s="289"/>
      <c r="I29" s="289"/>
      <c r="J29" s="289"/>
      <c r="K29" s="289">
        <f t="shared" si="1"/>
        <v>2626.5</v>
      </c>
      <c r="L29" s="289">
        <f t="shared" si="2"/>
        <v>2101.2000000000003</v>
      </c>
      <c r="M29" s="289">
        <f>L29+K29</f>
        <v>4727.7000000000007</v>
      </c>
      <c r="N29" s="290">
        <f>N32*1.8*B29-(M29/70*30+M29)</f>
        <v>3398.142857142856</v>
      </c>
      <c r="O29" s="291">
        <f t="shared" si="3"/>
        <v>8125.8428571428567</v>
      </c>
    </row>
    <row r="30" spans="1:16">
      <c r="A30" s="62" t="s">
        <v>47</v>
      </c>
      <c r="B30" s="63">
        <f>SUM(B23:B29)</f>
        <v>9</v>
      </c>
      <c r="C30" s="63"/>
      <c r="D30" s="63"/>
      <c r="E30" s="288">
        <f>SUM(E23:E29)</f>
        <v>48880</v>
      </c>
      <c r="F30" s="288">
        <f t="shared" ref="F30:O30" si="4">SUM(F23:F29)</f>
        <v>4065.9172205438067</v>
      </c>
      <c r="G30" s="288">
        <f t="shared" si="4"/>
        <v>4570.5861027190331</v>
      </c>
      <c r="H30" s="288"/>
      <c r="I30" s="288"/>
      <c r="J30" s="288"/>
      <c r="K30" s="288">
        <f t="shared" si="4"/>
        <v>57516.503323262848</v>
      </c>
      <c r="L30" s="288">
        <f t="shared" si="4"/>
        <v>46013.202658610273</v>
      </c>
      <c r="M30" s="288">
        <f t="shared" si="4"/>
        <v>103529.70598187314</v>
      </c>
      <c r="N30" s="288">
        <f t="shared" si="4"/>
        <v>34836.420025895524</v>
      </c>
      <c r="O30" s="288">
        <f t="shared" si="4"/>
        <v>138366.12600776865</v>
      </c>
    </row>
    <row r="31" spans="1:16">
      <c r="A31" s="282" t="s">
        <v>5</v>
      </c>
      <c r="B31" s="283">
        <f>B21+B30</f>
        <v>24.61</v>
      </c>
      <c r="C31" s="283"/>
      <c r="D31" s="283"/>
      <c r="E31" s="292">
        <f t="shared" ref="E31:N31" si="5">E21+E30</f>
        <v>271243.38</v>
      </c>
      <c r="F31" s="292">
        <f t="shared" si="5"/>
        <v>4065.9172205438067</v>
      </c>
      <c r="G31" s="292">
        <f t="shared" si="5"/>
        <v>4570.5861027190331</v>
      </c>
      <c r="H31" s="292">
        <f t="shared" si="5"/>
        <v>5040</v>
      </c>
      <c r="I31" s="292">
        <f t="shared" si="5"/>
        <v>6367.55</v>
      </c>
      <c r="J31" s="292"/>
      <c r="K31" s="292">
        <f t="shared" si="5"/>
        <v>291287.43332326284</v>
      </c>
      <c r="L31" s="292">
        <f t="shared" si="5"/>
        <v>95598.302658610279</v>
      </c>
      <c r="M31" s="292">
        <f t="shared" si="5"/>
        <v>386885.73598187318</v>
      </c>
      <c r="N31" s="292">
        <f t="shared" si="5"/>
        <v>34836.420025895524</v>
      </c>
      <c r="O31" s="292">
        <f>O21+O30</f>
        <v>421722.1560077687</v>
      </c>
    </row>
    <row r="32" spans="1:16">
      <c r="A32" s="66" t="s">
        <v>95</v>
      </c>
      <c r="G32" s="467" t="s">
        <v>161</v>
      </c>
      <c r="H32" s="467"/>
      <c r="I32" s="467"/>
      <c r="J32" s="467"/>
      <c r="K32" s="467"/>
      <c r="L32" s="67"/>
      <c r="M32" s="340" t="s">
        <v>183</v>
      </c>
      <c r="N32" s="350">
        <v>11280</v>
      </c>
    </row>
    <row r="33" spans="1:12">
      <c r="A33" t="s">
        <v>87</v>
      </c>
      <c r="B33" s="14"/>
      <c r="C33" s="14"/>
      <c r="D33" s="14"/>
      <c r="E33" s="293">
        <f>O21</f>
        <v>283356.03000000003</v>
      </c>
      <c r="G33" t="s">
        <v>87</v>
      </c>
      <c r="H33" s="14"/>
      <c r="I33" s="14"/>
      <c r="J33" s="15"/>
      <c r="L33" s="222">
        <f>O30</f>
        <v>138366.12600776865</v>
      </c>
    </row>
    <row r="34" spans="1:12">
      <c r="A34" t="s">
        <v>90</v>
      </c>
      <c r="B34" s="14"/>
      <c r="C34" s="14"/>
      <c r="D34" s="14"/>
      <c r="E34" s="293">
        <f>M21/70*30</f>
        <v>121438.29857142858</v>
      </c>
      <c r="G34" t="s">
        <v>90</v>
      </c>
      <c r="H34" s="14"/>
      <c r="I34" s="14"/>
      <c r="J34" s="15"/>
      <c r="L34" s="222">
        <f>M30/70*30</f>
        <v>44369.87399223134</v>
      </c>
    </row>
    <row r="35" spans="1:12">
      <c r="A35" t="s">
        <v>32</v>
      </c>
      <c r="B35" s="14"/>
      <c r="C35" s="14"/>
      <c r="D35" s="14"/>
      <c r="E35" s="293">
        <f>SUM(E33:E34)</f>
        <v>404794.3285714286</v>
      </c>
      <c r="G35" t="s">
        <v>32</v>
      </c>
      <c r="H35" s="14"/>
      <c r="I35" s="14"/>
      <c r="J35" s="15"/>
      <c r="L35" s="222">
        <f>SUM(L33:L34)</f>
        <v>182736</v>
      </c>
    </row>
    <row r="36" spans="1:12">
      <c r="A36" s="3"/>
      <c r="H36" s="32"/>
      <c r="I36" s="9"/>
      <c r="L36" s="9"/>
    </row>
    <row r="37" spans="1:12" ht="15">
      <c r="A37" s="130" t="s">
        <v>131</v>
      </c>
    </row>
  </sheetData>
  <mergeCells count="22">
    <mergeCell ref="K1:M2"/>
    <mergeCell ref="K4:L4"/>
    <mergeCell ref="B5:J5"/>
    <mergeCell ref="F6:G6"/>
    <mergeCell ref="J6:M6"/>
    <mergeCell ref="A7:C7"/>
    <mergeCell ref="A9:G9"/>
    <mergeCell ref="A10:G10"/>
    <mergeCell ref="F7:G7"/>
    <mergeCell ref="F11:M11"/>
    <mergeCell ref="A13:O13"/>
    <mergeCell ref="E11:E12"/>
    <mergeCell ref="G32:K32"/>
    <mergeCell ref="A8:G8"/>
    <mergeCell ref="A11:A12"/>
    <mergeCell ref="B11:B12"/>
    <mergeCell ref="A22:O22"/>
    <mergeCell ref="O11:O12"/>
    <mergeCell ref="C11:C12"/>
    <mergeCell ref="D11:D12"/>
    <mergeCell ref="N11:N12"/>
    <mergeCell ref="A18:O18"/>
  </mergeCells>
  <phoneticPr fontId="0" type="noConversion"/>
  <pageMargins left="0.19685039370078741" right="0.15748031496062992" top="0.15748031496062992" bottom="0.19685039370078741" header="0.15748031496062992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7">
    <tabColor rgb="FFFF0000"/>
  </sheetPr>
  <dimension ref="A1:AK33"/>
  <sheetViews>
    <sheetView topLeftCell="B10" zoomScaleNormal="100" zoomScaleSheetLayoutView="100" workbookViewId="0">
      <pane xSplit="22605" topLeftCell="CT1"/>
      <selection activeCell="C22" sqref="C22"/>
      <selection pane="topRight" activeCell="CT14" sqref="CT14"/>
    </sheetView>
  </sheetViews>
  <sheetFormatPr defaultRowHeight="12.75"/>
  <cols>
    <col min="1" max="1" width="0.85546875" hidden="1" customWidth="1"/>
    <col min="2" max="2" width="25.42578125" customWidth="1"/>
    <col min="3" max="3" width="5.5703125" customWidth="1"/>
    <col min="4" max="4" width="8" customWidth="1"/>
    <col min="5" max="5" width="5.5703125" customWidth="1"/>
    <col min="6" max="6" width="9.7109375" customWidth="1"/>
    <col min="7" max="7" width="8.5703125" customWidth="1"/>
    <col min="8" max="8" width="7.85546875" customWidth="1"/>
    <col min="9" max="9" width="8.7109375" customWidth="1"/>
    <col min="10" max="11" width="8.5703125" customWidth="1"/>
    <col min="12" max="12" width="10.140625" customWidth="1"/>
    <col min="13" max="13" width="9.85546875" customWidth="1"/>
    <col min="14" max="14" width="10.85546875" customWidth="1"/>
    <col min="15" max="15" width="10.5703125" customWidth="1"/>
    <col min="16" max="16" width="9.7109375" customWidth="1"/>
    <col min="17" max="19" width="10.5703125" customWidth="1"/>
    <col min="20" max="20" width="5.5703125" customWidth="1"/>
    <col min="21" max="21" width="15.7109375" customWidth="1"/>
    <col min="22" max="22" width="6.85546875" customWidth="1"/>
    <col min="23" max="23" width="6.5703125" customWidth="1"/>
    <col min="24" max="24" width="6.85546875" customWidth="1"/>
    <col min="25" max="25" width="9.85546875" customWidth="1"/>
    <col min="26" max="26" width="6.5703125" customWidth="1"/>
    <col min="27" max="28" width="6.42578125" customWidth="1"/>
    <col min="29" max="29" width="8.42578125" customWidth="1"/>
    <col min="30" max="31" width="9.28515625" customWidth="1"/>
    <col min="32" max="32" width="12.140625" customWidth="1"/>
    <col min="33" max="33" width="7.28515625" customWidth="1"/>
    <col min="34" max="34" width="6.7109375" customWidth="1"/>
    <col min="35" max="35" width="10" customWidth="1"/>
    <col min="36" max="36" width="9" customWidth="1"/>
    <col min="37" max="37" width="9.28515625" hidden="1" customWidth="1"/>
    <col min="38" max="38" width="14.140625" customWidth="1"/>
    <col min="39" max="39" width="6.140625" customWidth="1"/>
    <col min="40" max="41" width="7" customWidth="1"/>
    <col min="43" max="43" width="7" customWidth="1"/>
    <col min="44" max="44" width="6.42578125" customWidth="1"/>
    <col min="45" max="45" width="4.85546875" customWidth="1"/>
    <col min="46" max="46" width="8.7109375" customWidth="1"/>
    <col min="47" max="47" width="8.5703125" customWidth="1"/>
    <col min="48" max="48" width="9.5703125" customWidth="1"/>
    <col min="49" max="49" width="10.5703125" customWidth="1"/>
    <col min="50" max="50" width="7.85546875" customWidth="1"/>
    <col min="51" max="51" width="8.42578125" customWidth="1"/>
    <col min="52" max="52" width="10.140625" customWidth="1"/>
    <col min="53" max="53" width="12.85546875" customWidth="1"/>
    <col min="54" max="54" width="15.5703125" customWidth="1"/>
    <col min="55" max="55" width="6.140625" customWidth="1"/>
    <col min="56" max="56" width="7" customWidth="1"/>
    <col min="57" max="57" width="8.5703125" customWidth="1"/>
    <col min="58" max="58" width="9.5703125" customWidth="1"/>
    <col min="59" max="60" width="8.7109375" customWidth="1"/>
    <col min="61" max="61" width="7.42578125" customWidth="1"/>
    <col min="62" max="62" width="7.7109375" customWidth="1"/>
    <col min="63" max="63" width="9.85546875" customWidth="1"/>
    <col min="64" max="64" width="8.7109375" customWidth="1"/>
    <col min="65" max="65" width="10.5703125" customWidth="1"/>
    <col min="66" max="66" width="10" customWidth="1"/>
    <col min="67" max="67" width="7.7109375" customWidth="1"/>
    <col min="68" max="68" width="9.5703125" customWidth="1"/>
    <col min="69" max="69" width="10.42578125" customWidth="1"/>
    <col min="70" max="70" width="1.85546875" customWidth="1"/>
    <col min="71" max="71" width="3.42578125" customWidth="1"/>
    <col min="72" max="72" width="15.7109375" customWidth="1"/>
    <col min="73" max="73" width="6.140625" customWidth="1"/>
    <col min="74" max="74" width="6.7109375" customWidth="1"/>
    <col min="75" max="75" width="7.42578125" customWidth="1"/>
    <col min="77" max="77" width="7.85546875" customWidth="1"/>
    <col min="78" max="78" width="6.85546875" customWidth="1"/>
    <col min="79" max="79" width="7.140625" customWidth="1"/>
    <col min="80" max="80" width="7.42578125" customWidth="1"/>
    <col min="81" max="81" width="8.5703125" customWidth="1"/>
    <col min="83" max="83" width="9.85546875" customWidth="1"/>
    <col min="84" max="84" width="8" customWidth="1"/>
    <col min="85" max="85" width="7.5703125" customWidth="1"/>
    <col min="86" max="86" width="10.28515625" customWidth="1"/>
    <col min="87" max="87" width="10" customWidth="1"/>
    <col min="88" max="88" width="8.42578125" customWidth="1"/>
    <col min="89" max="89" width="15.5703125" customWidth="1"/>
    <col min="90" max="90" width="6" customWidth="1"/>
    <col min="91" max="91" width="6.85546875" customWidth="1"/>
    <col min="92" max="92" width="7.140625" customWidth="1"/>
    <col min="93" max="93" width="10.140625" customWidth="1"/>
    <col min="94" max="94" width="7.7109375" customWidth="1"/>
    <col min="95" max="95" width="6.5703125" customWidth="1"/>
    <col min="96" max="97" width="7.140625" customWidth="1"/>
    <col min="98" max="98" width="8.42578125" customWidth="1"/>
    <col min="99" max="99" width="9.28515625" bestFit="1" customWidth="1"/>
    <col min="100" max="100" width="10" customWidth="1"/>
    <col min="101" max="101" width="7.28515625" customWidth="1"/>
    <col min="102" max="102" width="7.42578125" customWidth="1"/>
    <col min="103" max="103" width="10.42578125" customWidth="1"/>
    <col min="104" max="104" width="9.85546875" bestFit="1" customWidth="1"/>
  </cols>
  <sheetData>
    <row r="1" spans="2:16" ht="15.75">
      <c r="B1" s="113" t="s">
        <v>120</v>
      </c>
      <c r="C1" s="113"/>
      <c r="D1" s="113"/>
      <c r="E1" s="113"/>
      <c r="F1" s="113"/>
      <c r="G1" s="114"/>
      <c r="H1" s="114"/>
      <c r="I1" s="114"/>
      <c r="J1" s="114"/>
      <c r="K1" s="115"/>
      <c r="L1" s="449" t="s">
        <v>109</v>
      </c>
      <c r="M1" s="449"/>
      <c r="N1" s="449"/>
    </row>
    <row r="2" spans="2:16" ht="15.75">
      <c r="B2" s="113" t="s">
        <v>121</v>
      </c>
      <c r="C2" s="113"/>
      <c r="D2" s="113"/>
      <c r="E2" s="113"/>
      <c r="F2" s="113"/>
      <c r="G2" s="114"/>
      <c r="H2" s="114"/>
      <c r="I2" s="114"/>
      <c r="J2" s="114"/>
      <c r="K2" s="116"/>
      <c r="L2" s="449"/>
      <c r="M2" s="449"/>
      <c r="N2" s="449"/>
    </row>
    <row r="3" spans="2:16" ht="15.75">
      <c r="B3" s="113"/>
      <c r="C3" s="113"/>
      <c r="D3" s="113"/>
      <c r="E3" s="113"/>
      <c r="F3" s="113"/>
      <c r="G3" s="114"/>
      <c r="H3" s="114"/>
      <c r="I3" s="114"/>
      <c r="J3" s="114"/>
      <c r="K3" s="116"/>
      <c r="L3" s="116"/>
      <c r="M3" s="116"/>
      <c r="N3" s="117" t="s">
        <v>110</v>
      </c>
    </row>
    <row r="4" spans="2:16" ht="15.75">
      <c r="B4" s="113" t="s">
        <v>122</v>
      </c>
      <c r="C4" s="113"/>
      <c r="D4" s="113"/>
      <c r="E4" s="113"/>
      <c r="F4" s="113"/>
      <c r="G4" s="114"/>
      <c r="H4" s="114"/>
      <c r="I4" s="114"/>
      <c r="J4" s="114"/>
      <c r="K4" s="118"/>
      <c r="L4" s="450" t="s">
        <v>111</v>
      </c>
      <c r="M4" s="451"/>
      <c r="N4" s="119">
        <v>301017</v>
      </c>
    </row>
    <row r="5" spans="2:16" ht="18.75">
      <c r="B5" s="113"/>
      <c r="C5" s="452" t="s">
        <v>264</v>
      </c>
      <c r="D5" s="452"/>
      <c r="E5" s="452"/>
      <c r="F5" s="452"/>
      <c r="G5" s="452"/>
      <c r="H5" s="452"/>
      <c r="I5" s="452"/>
      <c r="J5" s="452"/>
      <c r="K5" s="452"/>
      <c r="L5" s="115"/>
      <c r="M5" s="120" t="s">
        <v>112</v>
      </c>
      <c r="N5" s="121"/>
    </row>
    <row r="6" spans="2:16" ht="15.75">
      <c r="B6" s="113"/>
      <c r="C6" s="113"/>
      <c r="D6" s="113"/>
      <c r="E6" s="113"/>
      <c r="F6" s="122" t="s">
        <v>113</v>
      </c>
      <c r="G6" s="453" t="s">
        <v>114</v>
      </c>
      <c r="H6" s="453"/>
      <c r="I6" s="114"/>
      <c r="J6" s="114"/>
      <c r="K6" s="454" t="s">
        <v>115</v>
      </c>
      <c r="L6" s="454"/>
      <c r="M6" s="454"/>
      <c r="N6" s="454"/>
    </row>
    <row r="7" spans="2:16" ht="15.75">
      <c r="B7" s="493" t="s">
        <v>116</v>
      </c>
      <c r="C7" s="493"/>
      <c r="D7" s="493"/>
      <c r="E7" s="423"/>
      <c r="F7" s="119"/>
      <c r="G7" s="456" t="s">
        <v>237</v>
      </c>
      <c r="H7" s="456"/>
      <c r="I7" s="114"/>
      <c r="J7" s="114"/>
      <c r="K7" s="115" t="s">
        <v>117</v>
      </c>
      <c r="L7" s="115"/>
      <c r="M7" s="115"/>
      <c r="N7" s="115"/>
    </row>
    <row r="8" spans="2:16" ht="15.75">
      <c r="B8" s="462" t="s">
        <v>238</v>
      </c>
      <c r="C8" s="462"/>
      <c r="D8" s="462"/>
      <c r="E8" s="462"/>
      <c r="F8" s="462"/>
      <c r="G8" s="462"/>
      <c r="H8" s="462"/>
      <c r="I8" s="114"/>
      <c r="J8" s="114"/>
      <c r="K8" s="115" t="s">
        <v>118</v>
      </c>
      <c r="L8" s="115"/>
      <c r="M8" s="124">
        <f>C27</f>
        <v>16.61</v>
      </c>
      <c r="N8" s="115" t="s">
        <v>119</v>
      </c>
    </row>
    <row r="9" spans="2:16" ht="15.75">
      <c r="B9" s="490" t="s">
        <v>239</v>
      </c>
      <c r="C9" s="490"/>
      <c r="D9" s="490"/>
      <c r="E9" s="490"/>
      <c r="F9" s="490"/>
      <c r="G9" s="490"/>
      <c r="H9" s="490"/>
      <c r="I9" s="428"/>
      <c r="J9" s="428"/>
      <c r="K9" s="127" t="s">
        <v>130</v>
      </c>
      <c r="L9" s="127"/>
      <c r="M9" s="127"/>
      <c r="N9" s="127"/>
      <c r="O9" s="128"/>
      <c r="P9" s="128"/>
    </row>
    <row r="10" spans="2:16" ht="15.75">
      <c r="B10" s="466" t="s">
        <v>256</v>
      </c>
      <c r="C10" s="466"/>
      <c r="D10" s="466"/>
      <c r="E10" s="466"/>
      <c r="F10" s="466"/>
      <c r="G10" s="466"/>
      <c r="H10" s="466"/>
      <c r="I10" s="429"/>
      <c r="J10" s="429"/>
      <c r="K10" s="429"/>
      <c r="L10" s="429"/>
      <c r="M10" s="429"/>
      <c r="N10" s="429"/>
      <c r="O10" s="84"/>
      <c r="P10" s="84"/>
    </row>
    <row r="11" spans="2:16">
      <c r="B11" s="485" t="s">
        <v>56</v>
      </c>
      <c r="C11" s="486" t="s">
        <v>10</v>
      </c>
      <c r="D11" s="487" t="s">
        <v>231</v>
      </c>
      <c r="E11" s="491" t="s">
        <v>233</v>
      </c>
      <c r="F11" s="488" t="s">
        <v>11</v>
      </c>
      <c r="G11" s="489" t="s">
        <v>96</v>
      </c>
      <c r="H11" s="489"/>
      <c r="I11" s="489"/>
      <c r="J11" s="489"/>
      <c r="K11" s="489"/>
      <c r="L11" s="489"/>
      <c r="M11" s="489"/>
      <c r="N11" s="489"/>
      <c r="O11" s="481" t="s">
        <v>97</v>
      </c>
      <c r="P11" s="481" t="s">
        <v>84</v>
      </c>
    </row>
    <row r="12" spans="2:16" ht="25.5">
      <c r="B12" s="485"/>
      <c r="C12" s="486"/>
      <c r="D12" s="487"/>
      <c r="E12" s="492"/>
      <c r="F12" s="488"/>
      <c r="G12" s="74" t="s">
        <v>16</v>
      </c>
      <c r="H12" s="72" t="s">
        <v>17</v>
      </c>
      <c r="I12" s="72" t="s">
        <v>59</v>
      </c>
      <c r="J12" s="73" t="s">
        <v>41</v>
      </c>
      <c r="K12" s="72" t="s">
        <v>26</v>
      </c>
      <c r="L12" s="85" t="s">
        <v>45</v>
      </c>
      <c r="M12" s="86" t="s">
        <v>150</v>
      </c>
      <c r="N12" s="72" t="s">
        <v>44</v>
      </c>
      <c r="O12" s="481"/>
      <c r="P12" s="481"/>
    </row>
    <row r="13" spans="2:16">
      <c r="B13" s="482" t="s">
        <v>18</v>
      </c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228"/>
    </row>
    <row r="14" spans="2:16">
      <c r="B14" s="78" t="s">
        <v>19</v>
      </c>
      <c r="C14" s="76">
        <v>1</v>
      </c>
      <c r="D14" s="323">
        <v>17010</v>
      </c>
      <c r="E14" s="323"/>
      <c r="F14" s="323">
        <f>D14*C14</f>
        <v>17010</v>
      </c>
      <c r="G14" s="323"/>
      <c r="H14" s="323"/>
      <c r="I14" s="323"/>
      <c r="J14" s="323"/>
      <c r="K14" s="323">
        <f>(J14+H14+G14+F14)*25%</f>
        <v>4252.5</v>
      </c>
      <c r="L14" s="323">
        <f>SUM(F14:K14)</f>
        <v>21262.5</v>
      </c>
      <c r="M14" s="323">
        <f>L14*80%</f>
        <v>17010</v>
      </c>
      <c r="N14" s="323">
        <f>M14+L14</f>
        <v>38272.5</v>
      </c>
      <c r="O14" s="323">
        <f>N14</f>
        <v>38272.5</v>
      </c>
      <c r="P14" s="71"/>
    </row>
    <row r="15" spans="2:16" ht="38.25">
      <c r="B15" s="75" t="s">
        <v>188</v>
      </c>
      <c r="C15" s="74">
        <v>0.5</v>
      </c>
      <c r="D15" s="313">
        <v>15309</v>
      </c>
      <c r="E15" s="313"/>
      <c r="F15" s="313">
        <f>C15*D15</f>
        <v>7654.5</v>
      </c>
      <c r="G15" s="313"/>
      <c r="H15" s="313"/>
      <c r="I15" s="313"/>
      <c r="J15" s="313"/>
      <c r="K15" s="313">
        <f>F15*25%</f>
        <v>1913.625</v>
      </c>
      <c r="L15" s="313">
        <f>SUM(F15:K15)</f>
        <v>9568.125</v>
      </c>
      <c r="M15" s="313">
        <f>L15*80%</f>
        <v>7654.5</v>
      </c>
      <c r="N15" s="313">
        <f>M15+L15</f>
        <v>17222.625</v>
      </c>
      <c r="O15" s="313">
        <f>N15</f>
        <v>17222.625</v>
      </c>
      <c r="P15" s="71"/>
    </row>
    <row r="16" spans="2:16">
      <c r="B16" s="98" t="s">
        <v>15</v>
      </c>
      <c r="C16" s="100">
        <f>SUM(C14:C15)</f>
        <v>1.5</v>
      </c>
      <c r="D16" s="324"/>
      <c r="E16" s="324"/>
      <c r="F16" s="324">
        <f t="shared" ref="F16:O16" si="0">SUM(F14:F15)</f>
        <v>24664.5</v>
      </c>
      <c r="G16" s="324"/>
      <c r="H16" s="324"/>
      <c r="I16" s="324"/>
      <c r="J16" s="324"/>
      <c r="K16" s="324">
        <f t="shared" si="0"/>
        <v>6166.125</v>
      </c>
      <c r="L16" s="324">
        <f t="shared" si="0"/>
        <v>30830.625</v>
      </c>
      <c r="M16" s="324">
        <f t="shared" si="0"/>
        <v>24664.5</v>
      </c>
      <c r="N16" s="324">
        <f t="shared" si="0"/>
        <v>55495.125</v>
      </c>
      <c r="O16" s="324">
        <f t="shared" si="0"/>
        <v>55495.125</v>
      </c>
      <c r="P16" s="100"/>
    </row>
    <row r="17" spans="1:16">
      <c r="B17" s="483" t="s">
        <v>22</v>
      </c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227"/>
    </row>
    <row r="18" spans="1:16">
      <c r="B18" s="75" t="s">
        <v>187</v>
      </c>
      <c r="C18" s="137">
        <v>10.11</v>
      </c>
      <c r="D18" s="325">
        <v>12600</v>
      </c>
      <c r="E18" s="325">
        <v>1.085</v>
      </c>
      <c r="F18" s="325">
        <f>D18*C18*E18</f>
        <v>138213.81</v>
      </c>
      <c r="G18" s="325"/>
      <c r="H18" s="325"/>
      <c r="I18" s="325">
        <v>5571.43</v>
      </c>
      <c r="J18" s="325">
        <v>4693.5</v>
      </c>
      <c r="K18" s="325">
        <f>F18*25%</f>
        <v>34553.452499999999</v>
      </c>
      <c r="L18" s="325">
        <f>K18+J18+I18+F18</f>
        <v>183032.1925</v>
      </c>
      <c r="M18" s="325">
        <f>L18*80%</f>
        <v>146425.75400000002</v>
      </c>
      <c r="N18" s="325">
        <f>M18+L18</f>
        <v>329457.94650000002</v>
      </c>
      <c r="O18" s="325">
        <f>N18</f>
        <v>329457.94650000002</v>
      </c>
      <c r="P18" s="325"/>
    </row>
    <row r="19" spans="1:16">
      <c r="B19" s="98" t="s">
        <v>15</v>
      </c>
      <c r="C19" s="389">
        <f>C18</f>
        <v>10.11</v>
      </c>
      <c r="D19" s="324"/>
      <c r="E19" s="324"/>
      <c r="F19" s="324">
        <f>F18</f>
        <v>138213.81</v>
      </c>
      <c r="G19" s="324"/>
      <c r="H19" s="324"/>
      <c r="I19" s="324">
        <f>I18</f>
        <v>5571.43</v>
      </c>
      <c r="J19" s="324">
        <f t="shared" ref="J19:O19" si="1">J18</f>
        <v>4693.5</v>
      </c>
      <c r="K19" s="324">
        <f t="shared" si="1"/>
        <v>34553.452499999999</v>
      </c>
      <c r="L19" s="324">
        <f t="shared" si="1"/>
        <v>183032.1925</v>
      </c>
      <c r="M19" s="324">
        <f t="shared" si="1"/>
        <v>146425.75400000002</v>
      </c>
      <c r="N19" s="324">
        <f t="shared" si="1"/>
        <v>329457.94650000002</v>
      </c>
      <c r="O19" s="324">
        <f t="shared" si="1"/>
        <v>329457.94650000002</v>
      </c>
      <c r="P19" s="324"/>
    </row>
    <row r="20" spans="1:16">
      <c r="B20" s="99" t="s">
        <v>223</v>
      </c>
      <c r="C20" s="389">
        <f>C16+C19</f>
        <v>11.61</v>
      </c>
      <c r="D20" s="100"/>
      <c r="E20" s="100"/>
      <c r="F20" s="324">
        <f>F16+F19</f>
        <v>162878.31</v>
      </c>
      <c r="G20" s="324"/>
      <c r="H20" s="324"/>
      <c r="I20" s="324">
        <f t="shared" ref="I20:O20" si="2">I16+I19</f>
        <v>5571.43</v>
      </c>
      <c r="J20" s="324">
        <f t="shared" si="2"/>
        <v>4693.5</v>
      </c>
      <c r="K20" s="324">
        <f t="shared" si="2"/>
        <v>40719.577499999999</v>
      </c>
      <c r="L20" s="324">
        <f t="shared" si="2"/>
        <v>213862.8175</v>
      </c>
      <c r="M20" s="324">
        <f t="shared" si="2"/>
        <v>171090.25400000002</v>
      </c>
      <c r="N20" s="324">
        <f t="shared" si="2"/>
        <v>384953.07150000002</v>
      </c>
      <c r="O20" s="324">
        <f t="shared" si="2"/>
        <v>384953.07150000002</v>
      </c>
      <c r="P20" s="324"/>
    </row>
    <row r="21" spans="1:16">
      <c r="B21" s="482" t="s">
        <v>4</v>
      </c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228"/>
    </row>
    <row r="22" spans="1:16">
      <c r="B22" s="75" t="s">
        <v>246</v>
      </c>
      <c r="C22" s="74">
        <v>2</v>
      </c>
      <c r="D22" s="313">
        <v>5253</v>
      </c>
      <c r="E22" s="313"/>
      <c r="F22" s="313">
        <f>D22*C22</f>
        <v>10506</v>
      </c>
      <c r="G22" s="313">
        <f>D22/165.5*61*35%*C22</f>
        <v>1355.3057401812689</v>
      </c>
      <c r="H22" s="313">
        <f>D22*12/1986*288/12*C22</f>
        <v>1523.5287009063443</v>
      </c>
      <c r="I22" s="313"/>
      <c r="J22" s="313"/>
      <c r="K22" s="313">
        <f>(F22+G22+H22)*25%</f>
        <v>3346.2086102719036</v>
      </c>
      <c r="L22" s="313">
        <f>SUM(F22:K22)</f>
        <v>16731.043051359517</v>
      </c>
      <c r="M22" s="313">
        <f>L22*80%</f>
        <v>13384.834441087614</v>
      </c>
      <c r="N22" s="313">
        <f>M22+L22</f>
        <v>30115.877492447129</v>
      </c>
      <c r="O22" s="313">
        <f>N22</f>
        <v>30115.877492447129</v>
      </c>
      <c r="P22" s="264"/>
    </row>
    <row r="23" spans="1:16">
      <c r="B23" s="78" t="s">
        <v>0</v>
      </c>
      <c r="C23" s="76">
        <v>0.5</v>
      </c>
      <c r="D23" s="313">
        <v>5253</v>
      </c>
      <c r="E23" s="313"/>
      <c r="F23" s="323">
        <f>D23*C23</f>
        <v>2626.5</v>
      </c>
      <c r="G23" s="323"/>
      <c r="H23" s="323"/>
      <c r="I23" s="323"/>
      <c r="J23" s="323"/>
      <c r="K23" s="323">
        <f>(H23+G23+F23)*25%</f>
        <v>656.625</v>
      </c>
      <c r="L23" s="323">
        <f>SUM(F23:K23)</f>
        <v>3283.125</v>
      </c>
      <c r="M23" s="323">
        <f>L23*80%</f>
        <v>2626.5</v>
      </c>
      <c r="N23" s="323">
        <f>M23+L23</f>
        <v>5909.625</v>
      </c>
      <c r="O23" s="323">
        <f>N23</f>
        <v>5909.625</v>
      </c>
      <c r="P23" s="264">
        <f>C23*P28*1.8-(O23/70*30+O23)</f>
        <v>1709.6785714285725</v>
      </c>
    </row>
    <row r="24" spans="1:16">
      <c r="B24" s="78" t="s">
        <v>254</v>
      </c>
      <c r="C24" s="76">
        <v>0.5</v>
      </c>
      <c r="D24" s="313">
        <v>6768</v>
      </c>
      <c r="E24" s="313"/>
      <c r="F24" s="323">
        <f>D24*C24</f>
        <v>3384</v>
      </c>
      <c r="G24" s="323"/>
      <c r="H24" s="323"/>
      <c r="I24" s="323"/>
      <c r="J24" s="323"/>
      <c r="K24" s="323">
        <f>(H24+G24+F24)*25%</f>
        <v>846</v>
      </c>
      <c r="L24" s="323">
        <f>SUM(F24:K24)</f>
        <v>4230</v>
      </c>
      <c r="M24" s="323">
        <f>L24*80%</f>
        <v>3384</v>
      </c>
      <c r="N24" s="323">
        <f>M24+L24</f>
        <v>7614</v>
      </c>
      <c r="O24" s="323">
        <f>N24</f>
        <v>7614</v>
      </c>
      <c r="P24" s="264"/>
    </row>
    <row r="25" spans="1:16" ht="25.5">
      <c r="B25" s="75" t="s">
        <v>245</v>
      </c>
      <c r="C25" s="74">
        <v>2</v>
      </c>
      <c r="D25" s="313">
        <v>5253</v>
      </c>
      <c r="E25" s="313"/>
      <c r="F25" s="313">
        <f>D25*C25</f>
        <v>10506</v>
      </c>
      <c r="G25" s="313">
        <f>D25/165.5*61*35%*C25</f>
        <v>1355.3057401812689</v>
      </c>
      <c r="H25" s="313">
        <f>D25*12/1986*288/12*C25</f>
        <v>1523.5287009063443</v>
      </c>
      <c r="I25" s="313"/>
      <c r="J25" s="313"/>
      <c r="K25" s="313">
        <f>(F25+G25+H25)*25%</f>
        <v>3346.2086102719036</v>
      </c>
      <c r="L25" s="313">
        <f>SUM(F25:K25)</f>
        <v>16731.043051359517</v>
      </c>
      <c r="M25" s="313">
        <f>L25*80%</f>
        <v>13384.834441087614</v>
      </c>
      <c r="N25" s="313">
        <f>M25+L25</f>
        <v>30115.877492447129</v>
      </c>
      <c r="O25" s="313">
        <f>N25</f>
        <v>30115.877492447129</v>
      </c>
      <c r="P25" s="264"/>
    </row>
    <row r="26" spans="1:16">
      <c r="B26" s="99" t="s">
        <v>15</v>
      </c>
      <c r="C26" s="100">
        <f>SUM(C22:C25)</f>
        <v>5</v>
      </c>
      <c r="D26" s="100"/>
      <c r="E26" s="100"/>
      <c r="F26" s="324">
        <f>SUM(F22:F25)</f>
        <v>27022.5</v>
      </c>
      <c r="G26" s="324">
        <f t="shared" ref="G26:P26" si="3">SUM(G22:G25)</f>
        <v>2710.6114803625378</v>
      </c>
      <c r="H26" s="324">
        <f t="shared" si="3"/>
        <v>3047.0574018126886</v>
      </c>
      <c r="I26" s="324"/>
      <c r="J26" s="324"/>
      <c r="K26" s="324">
        <f t="shared" si="3"/>
        <v>8195.0422205438081</v>
      </c>
      <c r="L26" s="324">
        <f t="shared" si="3"/>
        <v>40975.211102719033</v>
      </c>
      <c r="M26" s="324">
        <f t="shared" si="3"/>
        <v>32780.168882175232</v>
      </c>
      <c r="N26" s="324">
        <f t="shared" si="3"/>
        <v>73755.379984894258</v>
      </c>
      <c r="O26" s="324">
        <f t="shared" si="3"/>
        <v>73755.379984894258</v>
      </c>
      <c r="P26" s="324">
        <f t="shared" si="3"/>
        <v>1709.6785714285725</v>
      </c>
    </row>
    <row r="27" spans="1:16">
      <c r="B27" s="101" t="s">
        <v>5</v>
      </c>
      <c r="C27" s="327">
        <f>C26+C20</f>
        <v>16.61</v>
      </c>
      <c r="D27" s="327"/>
      <c r="E27" s="327"/>
      <c r="F27" s="326">
        <f>F26+F20</f>
        <v>189900.81</v>
      </c>
      <c r="G27" s="326">
        <f t="shared" ref="G27:P27" si="4">G26+G20</f>
        <v>2710.6114803625378</v>
      </c>
      <c r="H27" s="326">
        <f t="shared" si="4"/>
        <v>3047.0574018126886</v>
      </c>
      <c r="I27" s="326">
        <f t="shared" si="4"/>
        <v>5571.43</v>
      </c>
      <c r="J27" s="326">
        <f t="shared" si="4"/>
        <v>4693.5</v>
      </c>
      <c r="K27" s="326">
        <f t="shared" si="4"/>
        <v>48914.619720543807</v>
      </c>
      <c r="L27" s="326">
        <f t="shared" si="4"/>
        <v>254838.02860271905</v>
      </c>
      <c r="M27" s="326">
        <f t="shared" si="4"/>
        <v>203870.42288217525</v>
      </c>
      <c r="N27" s="326">
        <f t="shared" si="4"/>
        <v>458708.45148489426</v>
      </c>
      <c r="O27" s="326">
        <f t="shared" si="4"/>
        <v>458708.45148489426</v>
      </c>
      <c r="P27" s="326">
        <f t="shared" si="4"/>
        <v>1709.6785714285725</v>
      </c>
    </row>
    <row r="28" spans="1:16" ht="13.5">
      <c r="A28" s="70" t="s">
        <v>49</v>
      </c>
      <c r="B28" s="80" t="s">
        <v>95</v>
      </c>
      <c r="C28" s="70"/>
      <c r="D28" s="70"/>
      <c r="E28" s="70"/>
      <c r="F28" s="70"/>
      <c r="G28" s="484" t="s">
        <v>161</v>
      </c>
      <c r="H28" s="484"/>
      <c r="I28" s="484"/>
      <c r="J28" s="484"/>
      <c r="K28" s="484"/>
      <c r="L28" s="81"/>
      <c r="M28" s="70"/>
      <c r="N28" s="70"/>
      <c r="O28" s="344" t="s">
        <v>183</v>
      </c>
      <c r="P28" s="345">
        <v>11280</v>
      </c>
    </row>
    <row r="29" spans="1:16" ht="15.75">
      <c r="A29" s="70" t="s">
        <v>50</v>
      </c>
      <c r="B29" s="70" t="s">
        <v>49</v>
      </c>
      <c r="C29" s="70"/>
      <c r="D29" s="70"/>
      <c r="E29" s="70"/>
      <c r="F29" s="297">
        <f>O20</f>
        <v>384953.07150000002</v>
      </c>
      <c r="G29" s="83"/>
      <c r="H29" s="70" t="s">
        <v>49</v>
      </c>
      <c r="I29" s="69"/>
      <c r="J29" s="70"/>
      <c r="K29" s="53"/>
      <c r="L29" s="346">
        <f>O26+P26</f>
        <v>75465.058556322823</v>
      </c>
      <c r="M29" s="82"/>
      <c r="N29" s="70"/>
      <c r="O29" s="70"/>
      <c r="P29" s="70"/>
    </row>
    <row r="30" spans="1:16" ht="15.75">
      <c r="A30" s="70" t="s">
        <v>6</v>
      </c>
      <c r="B30" s="70" t="s">
        <v>50</v>
      </c>
      <c r="C30" s="70"/>
      <c r="D30" s="70"/>
      <c r="E30" s="70"/>
      <c r="F30" s="297">
        <f>F29/70*30</f>
        <v>164979.88778571429</v>
      </c>
      <c r="G30" s="83"/>
      <c r="H30" s="70" t="s">
        <v>50</v>
      </c>
      <c r="I30" s="70"/>
      <c r="J30" s="70"/>
      <c r="K30" s="53"/>
      <c r="L30" s="346">
        <f>O26/70*30</f>
        <v>31609.448564954684</v>
      </c>
      <c r="M30" s="82"/>
      <c r="N30" s="70"/>
      <c r="O30" s="70"/>
      <c r="P30" s="70"/>
    </row>
    <row r="31" spans="1:16" ht="15.75">
      <c r="B31" s="70" t="s">
        <v>6</v>
      </c>
      <c r="C31" s="70"/>
      <c r="D31" s="70"/>
      <c r="E31" s="70"/>
      <c r="F31" s="297">
        <f>SUM(F29:F30)</f>
        <v>549932.95928571431</v>
      </c>
      <c r="G31" s="83"/>
      <c r="H31" s="70" t="s">
        <v>6</v>
      </c>
      <c r="I31" s="69"/>
      <c r="J31" s="70"/>
      <c r="K31" s="53"/>
      <c r="L31" s="346">
        <f>SUM(L29:L30)</f>
        <v>107074.50712127751</v>
      </c>
      <c r="M31" s="82"/>
      <c r="N31" s="70"/>
      <c r="O31" s="70"/>
      <c r="P31" s="70"/>
    </row>
    <row r="32" spans="1:16" ht="15.75">
      <c r="B32" s="70" t="s">
        <v>163</v>
      </c>
      <c r="C32" s="70"/>
      <c r="D32" s="70"/>
      <c r="E32" s="70"/>
      <c r="F32" s="70"/>
      <c r="G32" s="70"/>
      <c r="H32" s="70"/>
      <c r="I32" s="70"/>
      <c r="J32" s="83"/>
      <c r="K32" s="83"/>
      <c r="L32" s="83"/>
      <c r="M32" s="83"/>
      <c r="N32" s="83"/>
      <c r="O32" s="83"/>
      <c r="P32" s="83"/>
    </row>
    <row r="33" spans="2:16">
      <c r="B33" s="70" t="s">
        <v>172</v>
      </c>
      <c r="C33" s="70"/>
      <c r="D33" s="70"/>
      <c r="E33" s="70"/>
      <c r="F33" s="70"/>
      <c r="G33" s="70" t="s">
        <v>61</v>
      </c>
      <c r="H33" s="70"/>
      <c r="I33" s="70"/>
      <c r="J33" s="70"/>
      <c r="K33" s="70"/>
      <c r="L33" s="70"/>
      <c r="M33" s="70"/>
      <c r="N33" s="70"/>
      <c r="O33" s="70"/>
      <c r="P33" s="70"/>
    </row>
  </sheetData>
  <mergeCells count="22">
    <mergeCell ref="L1:N2"/>
    <mergeCell ref="L4:M4"/>
    <mergeCell ref="C5:K5"/>
    <mergeCell ref="G6:H6"/>
    <mergeCell ref="K6:N6"/>
    <mergeCell ref="B7:D7"/>
    <mergeCell ref="G7:H7"/>
    <mergeCell ref="B8:H8"/>
    <mergeCell ref="B11:B12"/>
    <mergeCell ref="C11:C12"/>
    <mergeCell ref="D11:D12"/>
    <mergeCell ref="F11:F12"/>
    <mergeCell ref="G11:N11"/>
    <mergeCell ref="B9:H9"/>
    <mergeCell ref="E11:E12"/>
    <mergeCell ref="B10:H10"/>
    <mergeCell ref="O11:O12"/>
    <mergeCell ref="P11:P12"/>
    <mergeCell ref="B13:O13"/>
    <mergeCell ref="B17:O17"/>
    <mergeCell ref="G28:K28"/>
    <mergeCell ref="B21:O21"/>
  </mergeCells>
  <phoneticPr fontId="0" type="noConversion"/>
  <pageMargins left="0.19685039370078741" right="0.15748031496062992" top="0.35433070866141736" bottom="0.27559055118110237" header="0.31496062992125984" footer="0.27559055118110237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8">
    <tabColor rgb="FF0070C0"/>
  </sheetPr>
  <dimension ref="A1:AI34"/>
  <sheetViews>
    <sheetView zoomScaleNormal="100" zoomScaleSheetLayoutView="100" workbookViewId="0">
      <selection activeCell="I19" sqref="I19"/>
    </sheetView>
  </sheetViews>
  <sheetFormatPr defaultRowHeight="12.75"/>
  <cols>
    <col min="1" max="1" width="27.85546875" customWidth="1"/>
    <col min="2" max="2" width="6.7109375" customWidth="1"/>
    <col min="3" max="3" width="7.28515625" customWidth="1"/>
    <col min="4" max="4" width="6.85546875" customWidth="1"/>
    <col min="5" max="5" width="10.140625" customWidth="1"/>
    <col min="6" max="6" width="8.42578125" customWidth="1"/>
    <col min="7" max="7" width="8.5703125" customWidth="1"/>
    <col min="8" max="8" width="7.7109375" customWidth="1"/>
    <col min="9" max="9" width="8.140625" customWidth="1"/>
    <col min="10" max="10" width="9.28515625" customWidth="1"/>
    <col min="11" max="11" width="10.140625" customWidth="1"/>
    <col min="12" max="12" width="10.7109375" customWidth="1"/>
    <col min="13" max="13" width="10.28515625" customWidth="1"/>
    <col min="14" max="14" width="9.85546875" customWidth="1"/>
    <col min="15" max="15" width="10.5703125" customWidth="1"/>
    <col min="16" max="16" width="9.7109375" customWidth="1"/>
    <col min="17" max="17" width="7.28515625" customWidth="1"/>
    <col min="18" max="18" width="8" customWidth="1"/>
    <col min="19" max="19" width="15.7109375" customWidth="1"/>
    <col min="20" max="20" width="6.85546875" customWidth="1"/>
    <col min="21" max="21" width="6.5703125" customWidth="1"/>
    <col min="22" max="22" width="6.85546875" customWidth="1"/>
    <col min="23" max="23" width="9.85546875" customWidth="1"/>
    <col min="24" max="24" width="6.5703125" customWidth="1"/>
    <col min="25" max="26" width="6.42578125" customWidth="1"/>
    <col min="27" max="27" width="8.42578125" customWidth="1"/>
    <col min="28" max="29" width="9.28515625" customWidth="1"/>
    <col min="30" max="30" width="12.140625" customWidth="1"/>
    <col min="31" max="31" width="7.28515625" customWidth="1"/>
    <col min="32" max="32" width="6.7109375" customWidth="1"/>
    <col min="33" max="33" width="10" customWidth="1"/>
    <col min="34" max="34" width="9" customWidth="1"/>
    <col min="35" max="35" width="9.28515625" hidden="1" customWidth="1"/>
    <col min="36" max="36" width="14.140625" customWidth="1"/>
    <col min="37" max="37" width="6.140625" customWidth="1"/>
    <col min="38" max="39" width="7" customWidth="1"/>
    <col min="41" max="41" width="7" customWidth="1"/>
    <col min="42" max="42" width="6.42578125" customWidth="1"/>
    <col min="43" max="43" width="4.85546875" customWidth="1"/>
    <col min="44" max="44" width="8.7109375" customWidth="1"/>
    <col min="45" max="45" width="8.5703125" customWidth="1"/>
    <col min="46" max="46" width="9.5703125" customWidth="1"/>
    <col min="47" max="47" width="10.5703125" customWidth="1"/>
    <col min="48" max="48" width="7.85546875" customWidth="1"/>
    <col min="49" max="49" width="8.42578125" customWidth="1"/>
    <col min="50" max="50" width="10.140625" customWidth="1"/>
    <col min="51" max="51" width="12.85546875" customWidth="1"/>
    <col min="52" max="52" width="15.5703125" customWidth="1"/>
    <col min="53" max="53" width="6.140625" customWidth="1"/>
    <col min="54" max="54" width="7" customWidth="1"/>
    <col min="55" max="55" width="8.5703125" customWidth="1"/>
    <col min="56" max="56" width="9.5703125" customWidth="1"/>
    <col min="57" max="58" width="8.7109375" customWidth="1"/>
    <col min="59" max="59" width="7.42578125" customWidth="1"/>
    <col min="60" max="60" width="7.7109375" customWidth="1"/>
    <col min="61" max="61" width="9.85546875" customWidth="1"/>
    <col min="62" max="62" width="8.7109375" customWidth="1"/>
    <col min="63" max="63" width="10.5703125" customWidth="1"/>
    <col min="64" max="64" width="10" customWidth="1"/>
    <col min="65" max="65" width="7.7109375" customWidth="1"/>
    <col min="66" max="66" width="9.5703125" customWidth="1"/>
    <col min="67" max="67" width="10.42578125" customWidth="1"/>
    <col min="68" max="68" width="1.85546875" customWidth="1"/>
    <col min="69" max="69" width="3.42578125" customWidth="1"/>
    <col min="70" max="70" width="15.7109375" customWidth="1"/>
    <col min="71" max="71" width="6.140625" customWidth="1"/>
    <col min="72" max="72" width="6.7109375" customWidth="1"/>
    <col min="73" max="73" width="7.42578125" customWidth="1"/>
    <col min="75" max="75" width="7.85546875" customWidth="1"/>
    <col min="76" max="76" width="6.85546875" customWidth="1"/>
    <col min="77" max="77" width="7.140625" customWidth="1"/>
    <col min="78" max="78" width="7.42578125" customWidth="1"/>
    <col min="79" max="79" width="8.5703125" customWidth="1"/>
    <col min="81" max="81" width="9.85546875" customWidth="1"/>
    <col min="82" max="82" width="8" customWidth="1"/>
    <col min="83" max="83" width="7.5703125" customWidth="1"/>
    <col min="84" max="84" width="10.28515625" customWidth="1"/>
    <col min="85" max="85" width="10" customWidth="1"/>
    <col min="86" max="86" width="8.42578125" customWidth="1"/>
    <col min="87" max="87" width="15.5703125" customWidth="1"/>
    <col min="88" max="88" width="6" customWidth="1"/>
    <col min="89" max="89" width="6.85546875" customWidth="1"/>
    <col min="90" max="90" width="7.140625" customWidth="1"/>
    <col min="91" max="91" width="10.140625" customWidth="1"/>
    <col min="92" max="92" width="7.7109375" customWidth="1"/>
    <col min="93" max="93" width="6.5703125" customWidth="1"/>
    <col min="94" max="95" width="7.140625" customWidth="1"/>
    <col min="96" max="96" width="8.42578125" customWidth="1"/>
    <col min="97" max="97" width="9.28515625" bestFit="1" customWidth="1"/>
    <col min="98" max="98" width="10" customWidth="1"/>
    <col min="99" max="99" width="7.28515625" customWidth="1"/>
    <col min="100" max="100" width="7.42578125" customWidth="1"/>
    <col min="101" max="101" width="10.42578125" customWidth="1"/>
    <col min="102" max="102" width="9.85546875" bestFit="1" customWidth="1"/>
  </cols>
  <sheetData>
    <row r="1" spans="1:15">
      <c r="A1" s="69" t="s">
        <v>120</v>
      </c>
      <c r="B1" s="69"/>
      <c r="C1" s="69"/>
      <c r="D1" s="69"/>
      <c r="E1" s="69"/>
      <c r="F1" s="232"/>
      <c r="G1" s="232"/>
      <c r="H1" s="232"/>
      <c r="I1" s="232"/>
      <c r="J1" s="233"/>
      <c r="K1" s="508" t="s">
        <v>109</v>
      </c>
      <c r="L1" s="508"/>
      <c r="M1" s="508"/>
      <c r="N1" s="14"/>
      <c r="O1" s="14"/>
    </row>
    <row r="2" spans="1:15">
      <c r="A2" s="69" t="s">
        <v>121</v>
      </c>
      <c r="B2" s="69"/>
      <c r="C2" s="69"/>
      <c r="D2" s="69"/>
      <c r="E2" s="69"/>
      <c r="F2" s="232"/>
      <c r="G2" s="232"/>
      <c r="H2" s="232"/>
      <c r="I2" s="232"/>
      <c r="J2" s="234"/>
      <c r="K2" s="508"/>
      <c r="L2" s="508"/>
      <c r="M2" s="508"/>
      <c r="N2" s="14"/>
      <c r="O2" s="14"/>
    </row>
    <row r="3" spans="1:15">
      <c r="A3" s="69"/>
      <c r="B3" s="69"/>
      <c r="C3" s="69"/>
      <c r="D3" s="69"/>
      <c r="E3" s="69"/>
      <c r="F3" s="232"/>
      <c r="G3" s="232"/>
      <c r="H3" s="232"/>
      <c r="I3" s="232"/>
      <c r="J3" s="234"/>
      <c r="K3" s="234"/>
      <c r="L3" s="234"/>
      <c r="M3" s="139" t="s">
        <v>110</v>
      </c>
      <c r="N3" s="14"/>
      <c r="O3" s="14"/>
    </row>
    <row r="4" spans="1:15">
      <c r="A4" s="69" t="s">
        <v>122</v>
      </c>
      <c r="B4" s="69"/>
      <c r="C4" s="69"/>
      <c r="D4" s="69"/>
      <c r="E4" s="69"/>
      <c r="F4" s="232"/>
      <c r="G4" s="232"/>
      <c r="H4" s="232"/>
      <c r="I4" s="232"/>
      <c r="J4" s="235"/>
      <c r="K4" s="509" t="s">
        <v>111</v>
      </c>
      <c r="L4" s="510"/>
      <c r="M4" s="236">
        <v>301017</v>
      </c>
      <c r="N4" s="14"/>
      <c r="O4" s="14"/>
    </row>
    <row r="5" spans="1:15" ht="15.75">
      <c r="A5" s="69"/>
      <c r="B5" s="511" t="s">
        <v>258</v>
      </c>
      <c r="C5" s="511"/>
      <c r="D5" s="511"/>
      <c r="E5" s="511"/>
      <c r="F5" s="511"/>
      <c r="G5" s="511"/>
      <c r="H5" s="511"/>
      <c r="I5" s="511"/>
      <c r="J5" s="511"/>
      <c r="K5" s="233"/>
      <c r="L5" s="237" t="s">
        <v>112</v>
      </c>
      <c r="M5" s="238"/>
      <c r="N5" s="14"/>
      <c r="O5" s="14"/>
    </row>
    <row r="6" spans="1:15">
      <c r="A6" s="69"/>
      <c r="B6" s="69"/>
      <c r="C6" s="69"/>
      <c r="D6" s="69"/>
      <c r="E6" s="122" t="s">
        <v>113</v>
      </c>
      <c r="F6" s="453" t="s">
        <v>114</v>
      </c>
      <c r="G6" s="453"/>
      <c r="H6" s="232"/>
      <c r="I6" s="232"/>
      <c r="J6" s="512" t="s">
        <v>115</v>
      </c>
      <c r="K6" s="512"/>
      <c r="L6" s="512"/>
      <c r="M6" s="512"/>
      <c r="N6" s="239"/>
      <c r="O6" s="14"/>
    </row>
    <row r="7" spans="1:15">
      <c r="A7" s="513" t="s">
        <v>116</v>
      </c>
      <c r="B7" s="513"/>
      <c r="C7" s="513"/>
      <c r="D7" s="422"/>
      <c r="E7" s="352" t="s">
        <v>283</v>
      </c>
      <c r="F7" s="514">
        <v>43707</v>
      </c>
      <c r="G7" s="514"/>
      <c r="H7" s="232"/>
      <c r="I7" s="232"/>
      <c r="J7" s="240" t="s">
        <v>257</v>
      </c>
      <c r="K7" s="240"/>
      <c r="L7" s="240"/>
      <c r="M7" s="240"/>
      <c r="N7" s="239"/>
      <c r="O7" s="14"/>
    </row>
    <row r="8" spans="1:15">
      <c r="A8" s="501" t="s">
        <v>278</v>
      </c>
      <c r="B8" s="501"/>
      <c r="C8" s="501"/>
      <c r="D8" s="501"/>
      <c r="E8" s="501"/>
      <c r="F8" s="501"/>
      <c r="G8" s="501"/>
      <c r="H8" s="232"/>
      <c r="I8" s="232"/>
      <c r="J8" s="240" t="s">
        <v>118</v>
      </c>
      <c r="K8" s="240"/>
      <c r="L8" s="241">
        <f>B28</f>
        <v>17.37</v>
      </c>
      <c r="M8" s="240" t="s">
        <v>119</v>
      </c>
      <c r="N8" s="239"/>
      <c r="O8" s="14"/>
    </row>
    <row r="9" spans="1:15">
      <c r="A9" s="504"/>
      <c r="B9" s="504"/>
      <c r="C9" s="504"/>
      <c r="D9" s="504"/>
      <c r="E9" s="504"/>
      <c r="F9" s="504"/>
      <c r="G9" s="504"/>
      <c r="H9" s="242"/>
      <c r="I9" s="242"/>
      <c r="J9" s="243" t="s">
        <v>179</v>
      </c>
      <c r="K9" s="243"/>
      <c r="L9" s="243"/>
      <c r="M9" s="243"/>
      <c r="N9" s="244"/>
      <c r="O9" s="245"/>
    </row>
    <row r="10" spans="1:15">
      <c r="A10" s="505"/>
      <c r="B10" s="505"/>
      <c r="C10" s="505"/>
      <c r="D10" s="505"/>
      <c r="E10" s="505"/>
      <c r="F10" s="505"/>
      <c r="G10" s="505"/>
      <c r="H10" s="427"/>
      <c r="I10" s="427"/>
      <c r="J10" s="427"/>
      <c r="K10" s="427"/>
      <c r="L10" s="427"/>
      <c r="M10" s="427"/>
      <c r="N10" s="427"/>
      <c r="O10" s="223"/>
    </row>
    <row r="11" spans="1:15">
      <c r="A11" s="502" t="s">
        <v>56</v>
      </c>
      <c r="B11" s="488" t="s">
        <v>10</v>
      </c>
      <c r="C11" s="485" t="s">
        <v>69</v>
      </c>
      <c r="D11" s="506" t="s">
        <v>233</v>
      </c>
      <c r="E11" s="488" t="s">
        <v>11</v>
      </c>
      <c r="F11" s="489" t="s">
        <v>96</v>
      </c>
      <c r="G11" s="489"/>
      <c r="H11" s="489"/>
      <c r="I11" s="489"/>
      <c r="J11" s="489"/>
      <c r="K11" s="489"/>
      <c r="L11" s="489"/>
      <c r="M11" s="489"/>
      <c r="N11" s="481" t="s">
        <v>97</v>
      </c>
      <c r="O11" s="481" t="s">
        <v>84</v>
      </c>
    </row>
    <row r="12" spans="1:15" ht="38.25">
      <c r="A12" s="503"/>
      <c r="B12" s="488"/>
      <c r="C12" s="485"/>
      <c r="D12" s="507"/>
      <c r="E12" s="488"/>
      <c r="F12" s="72" t="s">
        <v>40</v>
      </c>
      <c r="G12" s="72" t="s">
        <v>17</v>
      </c>
      <c r="H12" s="72" t="s">
        <v>59</v>
      </c>
      <c r="I12" s="246" t="s">
        <v>41</v>
      </c>
      <c r="J12" s="73" t="s">
        <v>42</v>
      </c>
      <c r="K12" s="74" t="s">
        <v>45</v>
      </c>
      <c r="L12" s="73" t="s">
        <v>150</v>
      </c>
      <c r="M12" s="73" t="s">
        <v>44</v>
      </c>
      <c r="N12" s="481"/>
      <c r="O12" s="481"/>
    </row>
    <row r="13" spans="1:15">
      <c r="A13" s="494" t="s">
        <v>18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6"/>
    </row>
    <row r="14" spans="1:15">
      <c r="A14" s="78" t="s">
        <v>19</v>
      </c>
      <c r="B14" s="76">
        <v>1</v>
      </c>
      <c r="C14" s="76">
        <v>17010</v>
      </c>
      <c r="D14" s="76"/>
      <c r="E14" s="323">
        <f>B14*C14</f>
        <v>17010</v>
      </c>
      <c r="F14" s="323"/>
      <c r="G14" s="323"/>
      <c r="H14" s="323"/>
      <c r="I14" s="323"/>
      <c r="J14" s="323">
        <f>E14*25%</f>
        <v>4252.5</v>
      </c>
      <c r="K14" s="323">
        <f>SUM(E14:J14)</f>
        <v>21262.5</v>
      </c>
      <c r="L14" s="323">
        <f>K14*80%</f>
        <v>17010</v>
      </c>
      <c r="M14" s="323">
        <f>L14+K14</f>
        <v>38272.5</v>
      </c>
      <c r="N14" s="323">
        <f>M14</f>
        <v>38272.5</v>
      </c>
      <c r="O14" s="71"/>
    </row>
    <row r="15" spans="1:15" ht="25.5">
      <c r="A15" s="353" t="s">
        <v>188</v>
      </c>
      <c r="B15" s="74">
        <v>0.5</v>
      </c>
      <c r="C15" s="74">
        <v>15309</v>
      </c>
      <c r="D15" s="74"/>
      <c r="E15" s="313">
        <f>B15*C15</f>
        <v>7654.5</v>
      </c>
      <c r="F15" s="313"/>
      <c r="G15" s="313"/>
      <c r="H15" s="313"/>
      <c r="I15" s="313"/>
      <c r="J15" s="313">
        <f>E15*25%</f>
        <v>1913.625</v>
      </c>
      <c r="K15" s="313">
        <f>SUM(E15:J15)</f>
        <v>9568.125</v>
      </c>
      <c r="L15" s="313">
        <f>K15*80%</f>
        <v>7654.5</v>
      </c>
      <c r="M15" s="313">
        <f>L15+K15</f>
        <v>17222.625</v>
      </c>
      <c r="N15" s="313">
        <f>M15</f>
        <v>17222.625</v>
      </c>
      <c r="O15" s="247"/>
    </row>
    <row r="16" spans="1:15">
      <c r="A16" s="98" t="s">
        <v>15</v>
      </c>
      <c r="B16" s="100">
        <f>SUM(B14:B15)</f>
        <v>1.5</v>
      </c>
      <c r="C16" s="100"/>
      <c r="D16" s="100"/>
      <c r="E16" s="324">
        <f>SUM(E14:E15)</f>
        <v>24664.5</v>
      </c>
      <c r="F16" s="324"/>
      <c r="G16" s="324"/>
      <c r="H16" s="324"/>
      <c r="I16" s="324"/>
      <c r="J16" s="324">
        <f>SUM(J14:J15)</f>
        <v>6166.125</v>
      </c>
      <c r="K16" s="324">
        <f>SUM(K14:K15)</f>
        <v>30830.625</v>
      </c>
      <c r="L16" s="324">
        <f>SUM(L14:L15)</f>
        <v>24664.5</v>
      </c>
      <c r="M16" s="324">
        <f>SUM(M14:M15)</f>
        <v>55495.125</v>
      </c>
      <c r="N16" s="324">
        <f>SUM(N14:N15)</f>
        <v>55495.125</v>
      </c>
      <c r="O16" s="389"/>
    </row>
    <row r="17" spans="1:15">
      <c r="A17" s="497" t="s">
        <v>22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9"/>
    </row>
    <row r="18" spans="1:15">
      <c r="A18" s="75" t="s">
        <v>187</v>
      </c>
      <c r="B18" s="137">
        <v>8.17</v>
      </c>
      <c r="C18" s="138">
        <v>12600</v>
      </c>
      <c r="D18" s="138">
        <v>1.073</v>
      </c>
      <c r="E18" s="325">
        <f>B18*C18*D18</f>
        <v>110456.76599999999</v>
      </c>
      <c r="F18" s="325"/>
      <c r="G18" s="325"/>
      <c r="H18" s="325">
        <v>2571.4299999999998</v>
      </c>
      <c r="I18" s="325">
        <v>3598</v>
      </c>
      <c r="J18" s="325">
        <f>E18*25%</f>
        <v>27614.191499999997</v>
      </c>
      <c r="K18" s="325">
        <f>J18+I18+H18+E18</f>
        <v>144240.38749999998</v>
      </c>
      <c r="L18" s="325">
        <f>K18*80%</f>
        <v>115392.31</v>
      </c>
      <c r="M18" s="325">
        <f>L18+K18</f>
        <v>259632.69749999998</v>
      </c>
      <c r="N18" s="325">
        <f>M18</f>
        <v>259632.69749999998</v>
      </c>
      <c r="O18" s="138"/>
    </row>
    <row r="19" spans="1:15">
      <c r="A19" s="98" t="s">
        <v>15</v>
      </c>
      <c r="B19" s="100">
        <f>B18</f>
        <v>8.17</v>
      </c>
      <c r="C19" s="100"/>
      <c r="D19" s="100"/>
      <c r="E19" s="324">
        <f>SUM(E18:E18)</f>
        <v>110456.76599999999</v>
      </c>
      <c r="F19" s="100"/>
      <c r="G19" s="100"/>
      <c r="H19" s="324">
        <f>H18</f>
        <v>2571.4299999999998</v>
      </c>
      <c r="I19" s="324">
        <f t="shared" ref="I19:N19" si="0">I18</f>
        <v>3598</v>
      </c>
      <c r="J19" s="324">
        <f t="shared" si="0"/>
        <v>27614.191499999997</v>
      </c>
      <c r="K19" s="324">
        <f t="shared" si="0"/>
        <v>144240.38749999998</v>
      </c>
      <c r="L19" s="324">
        <f t="shared" si="0"/>
        <v>115392.31</v>
      </c>
      <c r="M19" s="324">
        <f t="shared" si="0"/>
        <v>259632.69749999998</v>
      </c>
      <c r="N19" s="324">
        <f t="shared" si="0"/>
        <v>259632.69749999998</v>
      </c>
      <c r="O19" s="324"/>
    </row>
    <row r="20" spans="1:15">
      <c r="A20" s="99" t="s">
        <v>223</v>
      </c>
      <c r="B20" s="108">
        <f>B16+B19</f>
        <v>9.67</v>
      </c>
      <c r="C20" s="108"/>
      <c r="D20" s="108"/>
      <c r="E20" s="314">
        <f>E16+E19</f>
        <v>135121.266</v>
      </c>
      <c r="F20" s="314"/>
      <c r="G20" s="314"/>
      <c r="H20" s="314">
        <f t="shared" ref="H20:N20" si="1">H16+H19</f>
        <v>2571.4299999999998</v>
      </c>
      <c r="I20" s="314">
        <f t="shared" si="1"/>
        <v>3598</v>
      </c>
      <c r="J20" s="314">
        <f t="shared" si="1"/>
        <v>33780.316500000001</v>
      </c>
      <c r="K20" s="314">
        <f t="shared" si="1"/>
        <v>175071.01249999998</v>
      </c>
      <c r="L20" s="314">
        <f t="shared" si="1"/>
        <v>140056.81</v>
      </c>
      <c r="M20" s="314">
        <f t="shared" si="1"/>
        <v>315127.82250000001</v>
      </c>
      <c r="N20" s="314">
        <f t="shared" si="1"/>
        <v>315127.82250000001</v>
      </c>
      <c r="O20" s="314"/>
    </row>
    <row r="21" spans="1:15">
      <c r="A21" s="494" t="s">
        <v>4</v>
      </c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6"/>
    </row>
    <row r="22" spans="1:15">
      <c r="A22" s="75" t="s">
        <v>246</v>
      </c>
      <c r="B22" s="79">
        <v>2</v>
      </c>
      <c r="C22" s="79">
        <v>5253</v>
      </c>
      <c r="D22" s="79"/>
      <c r="E22" s="313">
        <f>B22*C22</f>
        <v>10506</v>
      </c>
      <c r="F22" s="313">
        <f>C22/165.5*61*35%*B22</f>
        <v>1355.3057401812689</v>
      </c>
      <c r="G22" s="313">
        <f>C22*12/1986*288/12*B22</f>
        <v>1523.5287009063443</v>
      </c>
      <c r="H22" s="313"/>
      <c r="I22" s="313"/>
      <c r="J22" s="313">
        <f>(E22+F22+G22)*25%</f>
        <v>3346.2086102719036</v>
      </c>
      <c r="K22" s="313">
        <f>J22+E22+F22+G22</f>
        <v>16731.043051359517</v>
      </c>
      <c r="L22" s="313">
        <f>K22*80%</f>
        <v>13384.834441087614</v>
      </c>
      <c r="M22" s="313">
        <f>L22+K22</f>
        <v>30115.877492447129</v>
      </c>
      <c r="N22" s="313">
        <f>M22</f>
        <v>30115.877492447129</v>
      </c>
      <c r="O22" s="313"/>
    </row>
    <row r="23" spans="1:15" ht="16.5" customHeight="1">
      <c r="A23" s="77" t="s">
        <v>60</v>
      </c>
      <c r="B23" s="79">
        <f>1.2-0.5</f>
        <v>0.7</v>
      </c>
      <c r="C23" s="79">
        <v>5253</v>
      </c>
      <c r="D23" s="79"/>
      <c r="E23" s="313">
        <f>B23*C23</f>
        <v>3677.1</v>
      </c>
      <c r="F23" s="313"/>
      <c r="G23" s="313"/>
      <c r="H23" s="313"/>
      <c r="I23" s="313"/>
      <c r="J23" s="313">
        <f>E23*25%</f>
        <v>919.27499999999998</v>
      </c>
      <c r="K23" s="313">
        <f>J23+E23+F23+G23</f>
        <v>4596.375</v>
      </c>
      <c r="L23" s="313">
        <f>K23*80%</f>
        <v>3677.1000000000004</v>
      </c>
      <c r="M23" s="313">
        <f>L23+K23</f>
        <v>8273.4750000000004</v>
      </c>
      <c r="N23" s="313">
        <f>M23</f>
        <v>8273.4750000000004</v>
      </c>
      <c r="O23" s="313">
        <f>B23*O29*1.8-(N23/70*30+N23)</f>
        <v>2393.5499999999993</v>
      </c>
    </row>
    <row r="24" spans="1:15" ht="15" customHeight="1">
      <c r="A24" s="77" t="s">
        <v>254</v>
      </c>
      <c r="B24" s="79">
        <v>0.5</v>
      </c>
      <c r="C24" s="79">
        <v>6768</v>
      </c>
      <c r="D24" s="79"/>
      <c r="E24" s="313">
        <f>B24*C24</f>
        <v>3384</v>
      </c>
      <c r="F24" s="313"/>
      <c r="G24" s="313"/>
      <c r="H24" s="313"/>
      <c r="I24" s="313"/>
      <c r="J24" s="313">
        <f>E24*25%</f>
        <v>846</v>
      </c>
      <c r="K24" s="313">
        <f>J24+E24+F24+G24</f>
        <v>4230</v>
      </c>
      <c r="L24" s="313">
        <f>K24*80%</f>
        <v>3384</v>
      </c>
      <c r="M24" s="313">
        <f>L24+K24</f>
        <v>7614</v>
      </c>
      <c r="N24" s="313">
        <f>M24</f>
        <v>7614</v>
      </c>
      <c r="O24" s="313"/>
    </row>
    <row r="25" spans="1:15">
      <c r="A25" s="75" t="s">
        <v>245</v>
      </c>
      <c r="B25" s="79">
        <v>4</v>
      </c>
      <c r="C25" s="79">
        <v>5253</v>
      </c>
      <c r="D25" s="79"/>
      <c r="E25" s="313">
        <f>B25*C25</f>
        <v>21012</v>
      </c>
      <c r="F25" s="313">
        <f>C25/165.5*61*35%*B25</f>
        <v>2710.6114803625378</v>
      </c>
      <c r="G25" s="313">
        <f>C25*12/1986*288/12*B25</f>
        <v>3047.0574018126886</v>
      </c>
      <c r="H25" s="313"/>
      <c r="I25" s="313"/>
      <c r="J25" s="313">
        <f>(E25+F25+G25)*25%</f>
        <v>6692.4172205438072</v>
      </c>
      <c r="K25" s="313">
        <f>J25+E25+F25+G25</f>
        <v>33462.086102719033</v>
      </c>
      <c r="L25" s="313">
        <f>K25*80%</f>
        <v>26769.668882175229</v>
      </c>
      <c r="M25" s="313">
        <f>L25+K25</f>
        <v>60231.754984894258</v>
      </c>
      <c r="N25" s="313">
        <f>M25</f>
        <v>60231.754984894258</v>
      </c>
      <c r="O25" s="313"/>
    </row>
    <row r="26" spans="1:15" ht="27" customHeight="1">
      <c r="A26" s="424" t="s">
        <v>252</v>
      </c>
      <c r="B26" s="79">
        <v>0.5</v>
      </c>
      <c r="C26" s="79">
        <v>5253</v>
      </c>
      <c r="D26" s="79"/>
      <c r="E26" s="313">
        <f>B26*C26</f>
        <v>2626.5</v>
      </c>
      <c r="F26" s="313"/>
      <c r="G26" s="313"/>
      <c r="H26" s="313"/>
      <c r="I26" s="313"/>
      <c r="J26" s="313">
        <f>(E26+F26+G26)*25%</f>
        <v>656.625</v>
      </c>
      <c r="K26" s="313">
        <f>J26+E26+F26+G26</f>
        <v>3283.125</v>
      </c>
      <c r="L26" s="313">
        <f>K26*80%</f>
        <v>2626.5</v>
      </c>
      <c r="M26" s="313">
        <f>L26+K26</f>
        <v>5909.625</v>
      </c>
      <c r="N26" s="313">
        <f>M26</f>
        <v>5909.625</v>
      </c>
      <c r="O26" s="313">
        <f>B26*O29*1.8-(N26/70*30+N26)</f>
        <v>1709.6785714285725</v>
      </c>
    </row>
    <row r="27" spans="1:15">
      <c r="A27" s="99"/>
      <c r="B27" s="108">
        <f>SUM(B22:B26)</f>
        <v>7.7</v>
      </c>
      <c r="C27" s="108"/>
      <c r="D27" s="108"/>
      <c r="E27" s="314">
        <f>SUM(E22:E26)</f>
        <v>41205.599999999999</v>
      </c>
      <c r="F27" s="314">
        <f>SUM(F22:F26)</f>
        <v>4065.9172205438067</v>
      </c>
      <c r="G27" s="314">
        <f>SUM(G22:G26)</f>
        <v>4570.5861027190331</v>
      </c>
      <c r="H27" s="314"/>
      <c r="I27" s="314"/>
      <c r="J27" s="314">
        <f t="shared" ref="J27:O27" si="2">SUM(J22:J26)</f>
        <v>12460.52583081571</v>
      </c>
      <c r="K27" s="314">
        <f t="shared" si="2"/>
        <v>62302.629154078546</v>
      </c>
      <c r="L27" s="314">
        <f t="shared" si="2"/>
        <v>49842.10332326284</v>
      </c>
      <c r="M27" s="314">
        <f t="shared" si="2"/>
        <v>112144.73247734139</v>
      </c>
      <c r="N27" s="314">
        <f t="shared" si="2"/>
        <v>112144.73247734139</v>
      </c>
      <c r="O27" s="314">
        <f t="shared" si="2"/>
        <v>4103.2285714285717</v>
      </c>
    </row>
    <row r="28" spans="1:15">
      <c r="A28" s="101" t="s">
        <v>5</v>
      </c>
      <c r="B28" s="315">
        <f>B20+B27</f>
        <v>17.37</v>
      </c>
      <c r="C28" s="315"/>
      <c r="D28" s="315"/>
      <c r="E28" s="316">
        <f>E20+E27</f>
        <v>176326.86600000001</v>
      </c>
      <c r="F28" s="316">
        <f t="shared" ref="F28:O28" si="3">F20+F27</f>
        <v>4065.9172205438067</v>
      </c>
      <c r="G28" s="316">
        <f t="shared" si="3"/>
        <v>4570.5861027190331</v>
      </c>
      <c r="H28" s="316">
        <f t="shared" si="3"/>
        <v>2571.4299999999998</v>
      </c>
      <c r="I28" s="316">
        <f t="shared" si="3"/>
        <v>3598</v>
      </c>
      <c r="J28" s="316">
        <f t="shared" si="3"/>
        <v>46240.842330815707</v>
      </c>
      <c r="K28" s="316">
        <f t="shared" si="3"/>
        <v>237373.64165407853</v>
      </c>
      <c r="L28" s="316">
        <f t="shared" si="3"/>
        <v>189898.91332326282</v>
      </c>
      <c r="M28" s="316">
        <f t="shared" si="3"/>
        <v>427272.55497734138</v>
      </c>
      <c r="N28" s="316">
        <f t="shared" si="3"/>
        <v>427272.55497734138</v>
      </c>
      <c r="O28" s="316">
        <f t="shared" si="3"/>
        <v>4103.2285714285717</v>
      </c>
    </row>
    <row r="29" spans="1:15" ht="13.5">
      <c r="A29" s="80" t="s">
        <v>95</v>
      </c>
      <c r="B29" s="70"/>
      <c r="C29" s="70"/>
      <c r="D29" s="70"/>
      <c r="E29" s="70"/>
      <c r="F29" s="294"/>
      <c r="G29" s="500" t="s">
        <v>161</v>
      </c>
      <c r="H29" s="500"/>
      <c r="I29" s="500"/>
      <c r="J29" s="500"/>
      <c r="K29" s="81"/>
      <c r="L29" s="70"/>
      <c r="M29" s="70"/>
      <c r="N29" s="354" t="s">
        <v>183</v>
      </c>
      <c r="O29" s="355">
        <v>11280</v>
      </c>
    </row>
    <row r="30" spans="1:15">
      <c r="A30" s="70" t="s">
        <v>91</v>
      </c>
      <c r="B30" s="70"/>
      <c r="C30" s="70"/>
      <c r="D30" s="70"/>
      <c r="E30" s="297">
        <f>N20</f>
        <v>315127.82250000001</v>
      </c>
      <c r="F30" s="70"/>
      <c r="G30" s="70" t="s">
        <v>91</v>
      </c>
      <c r="H30" s="69"/>
      <c r="I30" s="70"/>
      <c r="J30" s="69"/>
      <c r="K30" s="297">
        <f>N27+O27</f>
        <v>116247.96104876995</v>
      </c>
      <c r="L30" s="70"/>
      <c r="M30" s="70"/>
      <c r="N30" s="70"/>
      <c r="O30" s="70"/>
    </row>
    <row r="31" spans="1:15">
      <c r="A31" s="70" t="s">
        <v>92</v>
      </c>
      <c r="B31" s="70"/>
      <c r="C31" s="70"/>
      <c r="D31" s="70"/>
      <c r="E31" s="297">
        <f>E30/70*30</f>
        <v>135054.78107142859</v>
      </c>
      <c r="F31" s="70"/>
      <c r="G31" s="70" t="s">
        <v>92</v>
      </c>
      <c r="H31" s="70"/>
      <c r="I31" s="70"/>
      <c r="J31" s="69"/>
      <c r="K31" s="297">
        <f>N27/70*30</f>
        <v>48062.028204574875</v>
      </c>
      <c r="L31" s="70"/>
      <c r="M31" s="70"/>
      <c r="N31" s="70"/>
      <c r="O31" s="70"/>
    </row>
    <row r="32" spans="1:15">
      <c r="A32" s="70" t="s">
        <v>46</v>
      </c>
      <c r="B32" s="70"/>
      <c r="C32" s="70"/>
      <c r="D32" s="70"/>
      <c r="E32" s="297">
        <f>SUM(E30:E31)</f>
        <v>450182.60357142857</v>
      </c>
      <c r="F32" s="70"/>
      <c r="G32" s="70" t="s">
        <v>46</v>
      </c>
      <c r="H32" s="69"/>
      <c r="I32" s="70"/>
      <c r="J32" s="69"/>
      <c r="K32" s="297">
        <f>SUM(K30:K31)</f>
        <v>164309.98925334483</v>
      </c>
      <c r="L32" s="70"/>
      <c r="M32" s="70"/>
      <c r="N32" s="70"/>
      <c r="O32" s="70"/>
    </row>
    <row r="33" spans="1:15">
      <c r="A33" s="70" t="s">
        <v>163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>
      <c r="A34" s="70" t="s">
        <v>149</v>
      </c>
      <c r="B34" s="70"/>
      <c r="C34" s="70"/>
      <c r="D34" s="70"/>
      <c r="E34" s="70" t="s">
        <v>66</v>
      </c>
      <c r="F34" s="70" t="s">
        <v>61</v>
      </c>
      <c r="G34" s="70"/>
      <c r="H34" s="70"/>
      <c r="I34" s="70"/>
      <c r="J34" s="70"/>
      <c r="K34" s="70"/>
      <c r="L34" s="70"/>
      <c r="M34" s="70"/>
      <c r="N34" s="70"/>
      <c r="O34" s="70"/>
    </row>
  </sheetData>
  <mergeCells count="22">
    <mergeCell ref="K1:M2"/>
    <mergeCell ref="K4:L4"/>
    <mergeCell ref="B5:J5"/>
    <mergeCell ref="F6:G6"/>
    <mergeCell ref="J6:M6"/>
    <mergeCell ref="A7:C7"/>
    <mergeCell ref="F7:G7"/>
    <mergeCell ref="A8:G8"/>
    <mergeCell ref="A11:A12"/>
    <mergeCell ref="B11:B12"/>
    <mergeCell ref="C11:C12"/>
    <mergeCell ref="E11:E12"/>
    <mergeCell ref="F11:M11"/>
    <mergeCell ref="A9:G9"/>
    <mergeCell ref="A10:G10"/>
    <mergeCell ref="D11:D12"/>
    <mergeCell ref="O11:O12"/>
    <mergeCell ref="A13:O13"/>
    <mergeCell ref="A17:O17"/>
    <mergeCell ref="A21:O21"/>
    <mergeCell ref="N11:N12"/>
    <mergeCell ref="G29:J2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0">
    <tabColor rgb="FFFF0000"/>
  </sheetPr>
  <dimension ref="A1:AL73"/>
  <sheetViews>
    <sheetView topLeftCell="A39" zoomScaleNormal="100" zoomScaleSheetLayoutView="100" workbookViewId="0">
      <selection activeCell="K57" sqref="K57"/>
    </sheetView>
  </sheetViews>
  <sheetFormatPr defaultRowHeight="12.75"/>
  <cols>
    <col min="1" max="1" width="24.7109375" customWidth="1"/>
    <col min="2" max="2" width="7.42578125" customWidth="1"/>
    <col min="3" max="4" width="6.85546875" customWidth="1"/>
    <col min="5" max="5" width="11.42578125" customWidth="1"/>
    <col min="6" max="8" width="8" customWidth="1"/>
    <col min="9" max="9" width="8.5703125" customWidth="1"/>
    <col min="10" max="10" width="9" customWidth="1"/>
    <col min="11" max="11" width="9.5703125" customWidth="1"/>
    <col min="12" max="12" width="10.28515625" customWidth="1"/>
    <col min="13" max="13" width="9.5703125" customWidth="1"/>
    <col min="14" max="14" width="10.140625" customWidth="1"/>
    <col min="15" max="15" width="9.28515625" customWidth="1"/>
    <col min="16" max="16" width="14.85546875" customWidth="1"/>
    <col min="17" max="17" width="10.7109375" customWidth="1"/>
    <col min="18" max="18" width="10.140625" customWidth="1"/>
    <col min="19" max="19" width="10.85546875" customWidth="1"/>
    <col min="20" max="20" width="7.7109375" customWidth="1"/>
    <col min="21" max="21" width="10" customWidth="1"/>
    <col min="22" max="22" width="15.7109375" customWidth="1"/>
    <col min="23" max="23" width="6.85546875" customWidth="1"/>
    <col min="24" max="24" width="6.5703125" customWidth="1"/>
    <col min="25" max="25" width="6.85546875" customWidth="1"/>
    <col min="26" max="26" width="9.85546875" customWidth="1"/>
    <col min="27" max="27" width="6.5703125" customWidth="1"/>
    <col min="28" max="29" width="6.42578125" customWidth="1"/>
    <col min="30" max="30" width="8.42578125" customWidth="1"/>
    <col min="31" max="32" width="9.28515625" customWidth="1"/>
    <col min="33" max="33" width="12.140625" customWidth="1"/>
    <col min="34" max="34" width="7.28515625" customWidth="1"/>
    <col min="35" max="35" width="6.7109375" customWidth="1"/>
    <col min="36" max="36" width="10" customWidth="1"/>
    <col min="37" max="37" width="9" customWidth="1"/>
    <col min="38" max="38" width="9.28515625" hidden="1" customWidth="1"/>
    <col min="39" max="39" width="14.140625" customWidth="1"/>
    <col min="40" max="40" width="6.140625" customWidth="1"/>
    <col min="41" max="42" width="7" customWidth="1"/>
    <col min="44" max="44" width="7" customWidth="1"/>
    <col min="45" max="45" width="6.42578125" customWidth="1"/>
    <col min="46" max="46" width="4.85546875" customWidth="1"/>
    <col min="47" max="47" width="8.7109375" customWidth="1"/>
    <col min="48" max="48" width="8.5703125" customWidth="1"/>
    <col min="49" max="49" width="9.5703125" customWidth="1"/>
    <col min="50" max="50" width="10.5703125" customWidth="1"/>
    <col min="51" max="51" width="7.85546875" customWidth="1"/>
    <col min="52" max="52" width="8.42578125" customWidth="1"/>
    <col min="53" max="53" width="10.140625" customWidth="1"/>
    <col min="54" max="54" width="12.85546875" customWidth="1"/>
    <col min="55" max="55" width="15.5703125" customWidth="1"/>
    <col min="56" max="56" width="6.140625" customWidth="1"/>
    <col min="57" max="57" width="7" customWidth="1"/>
    <col min="58" max="58" width="8.5703125" customWidth="1"/>
    <col min="59" max="59" width="9.5703125" customWidth="1"/>
    <col min="60" max="61" width="8.7109375" customWidth="1"/>
    <col min="62" max="62" width="7.42578125" customWidth="1"/>
    <col min="63" max="63" width="7.7109375" customWidth="1"/>
    <col min="64" max="64" width="9.85546875" customWidth="1"/>
    <col min="65" max="65" width="8.7109375" customWidth="1"/>
    <col min="66" max="66" width="10.5703125" customWidth="1"/>
    <col min="67" max="67" width="10" customWidth="1"/>
    <col min="68" max="68" width="7.7109375" customWidth="1"/>
    <col min="69" max="69" width="9.5703125" customWidth="1"/>
    <col min="70" max="70" width="10.42578125" customWidth="1"/>
    <col min="71" max="71" width="1.85546875" customWidth="1"/>
    <col min="72" max="72" width="3.42578125" customWidth="1"/>
    <col min="73" max="73" width="15.7109375" customWidth="1"/>
    <col min="74" max="74" width="6.140625" customWidth="1"/>
    <col min="75" max="75" width="6.7109375" customWidth="1"/>
    <col min="76" max="76" width="7.42578125" customWidth="1"/>
    <col min="78" max="78" width="7.85546875" customWidth="1"/>
    <col min="79" max="79" width="6.85546875" customWidth="1"/>
    <col min="80" max="80" width="7.140625" customWidth="1"/>
    <col min="81" max="81" width="7.42578125" customWidth="1"/>
    <col min="82" max="82" width="8.5703125" customWidth="1"/>
    <col min="84" max="84" width="9.85546875" customWidth="1"/>
    <col min="85" max="85" width="8" customWidth="1"/>
    <col min="86" max="86" width="7.5703125" customWidth="1"/>
    <col min="87" max="87" width="10.28515625" customWidth="1"/>
    <col min="88" max="88" width="10" customWidth="1"/>
    <col min="89" max="89" width="8.42578125" customWidth="1"/>
    <col min="90" max="90" width="15.5703125" customWidth="1"/>
    <col min="91" max="91" width="6" customWidth="1"/>
    <col min="92" max="92" width="6.85546875" customWidth="1"/>
    <col min="93" max="93" width="7.140625" customWidth="1"/>
    <col min="94" max="94" width="10.140625" customWidth="1"/>
    <col min="95" max="95" width="7.7109375" customWidth="1"/>
    <col min="96" max="96" width="6.5703125" customWidth="1"/>
    <col min="97" max="98" width="7.140625" customWidth="1"/>
    <col min="99" max="99" width="8.42578125" customWidth="1"/>
    <col min="100" max="100" width="9.28515625" bestFit="1" customWidth="1"/>
    <col min="101" max="101" width="10" customWidth="1"/>
    <col min="102" max="102" width="7.28515625" customWidth="1"/>
    <col min="103" max="103" width="7.42578125" customWidth="1"/>
    <col min="104" max="104" width="10.42578125" customWidth="1"/>
    <col min="105" max="105" width="9.85546875" bestFit="1" customWidth="1"/>
  </cols>
  <sheetData>
    <row r="1" spans="1:16" ht="15.75" hidden="1">
      <c r="A1" s="176" t="s">
        <v>120</v>
      </c>
      <c r="B1" s="176"/>
      <c r="C1" s="176"/>
      <c r="D1" s="176"/>
      <c r="E1" s="176"/>
      <c r="F1" s="177"/>
      <c r="G1" s="177"/>
      <c r="H1" s="177"/>
      <c r="I1" s="177"/>
      <c r="J1" s="177"/>
      <c r="K1" s="178"/>
      <c r="L1" s="179"/>
      <c r="M1" s="179"/>
      <c r="N1" s="533" t="s">
        <v>109</v>
      </c>
      <c r="O1" s="533"/>
      <c r="P1" s="533"/>
    </row>
    <row r="2" spans="1:16" ht="15.75" hidden="1">
      <c r="A2" s="176" t="s">
        <v>121</v>
      </c>
      <c r="B2" s="176"/>
      <c r="C2" s="176"/>
      <c r="D2" s="176"/>
      <c r="E2" s="176"/>
      <c r="F2" s="177"/>
      <c r="G2" s="177"/>
      <c r="H2" s="177"/>
      <c r="I2" s="177"/>
      <c r="J2" s="177"/>
      <c r="K2" s="181"/>
      <c r="L2" s="179"/>
      <c r="M2" s="179"/>
      <c r="N2" s="533"/>
      <c r="O2" s="533"/>
      <c r="P2" s="533"/>
    </row>
    <row r="3" spans="1:16" ht="15.75" hidden="1">
      <c r="A3" s="176"/>
      <c r="B3" s="176"/>
      <c r="C3" s="176"/>
      <c r="D3" s="176"/>
      <c r="E3" s="176"/>
      <c r="F3" s="177"/>
      <c r="G3" s="177"/>
      <c r="H3" s="177"/>
      <c r="I3" s="177"/>
      <c r="J3" s="177"/>
      <c r="K3" s="181"/>
      <c r="L3" s="181"/>
      <c r="M3" s="181"/>
      <c r="N3" s="180"/>
      <c r="O3" s="180"/>
      <c r="P3" s="182" t="s">
        <v>110</v>
      </c>
    </row>
    <row r="4" spans="1:16" ht="15.75" hidden="1">
      <c r="A4" s="176" t="s">
        <v>122</v>
      </c>
      <c r="B4" s="176"/>
      <c r="C4" s="176"/>
      <c r="D4" s="176"/>
      <c r="E4" s="176"/>
      <c r="F4" s="177"/>
      <c r="G4" s="177"/>
      <c r="H4" s="177"/>
      <c r="I4" s="177"/>
      <c r="J4" s="177"/>
      <c r="K4" s="183"/>
      <c r="L4" s="180"/>
      <c r="M4" s="180"/>
      <c r="N4" s="534" t="s">
        <v>111</v>
      </c>
      <c r="O4" s="535"/>
      <c r="P4" s="184">
        <v>301017</v>
      </c>
    </row>
    <row r="5" spans="1:16" ht="18.75" hidden="1">
      <c r="A5" s="176"/>
      <c r="B5" s="536" t="s">
        <v>135</v>
      </c>
      <c r="C5" s="536"/>
      <c r="D5" s="536"/>
      <c r="E5" s="536"/>
      <c r="F5" s="536"/>
      <c r="G5" s="536"/>
      <c r="H5" s="536"/>
      <c r="I5" s="536"/>
      <c r="J5" s="536"/>
      <c r="K5" s="536"/>
      <c r="L5" s="180"/>
      <c r="M5" s="180"/>
      <c r="N5" s="178"/>
      <c r="O5" s="185" t="s">
        <v>112</v>
      </c>
      <c r="P5" s="186"/>
    </row>
    <row r="6" spans="1:16" ht="15.75" hidden="1">
      <c r="A6" s="176"/>
      <c r="B6" s="176"/>
      <c r="C6" s="176"/>
      <c r="D6" s="176"/>
      <c r="E6" s="187" t="s">
        <v>113</v>
      </c>
      <c r="F6" s="537" t="s">
        <v>114</v>
      </c>
      <c r="G6" s="537"/>
      <c r="H6" s="420"/>
      <c r="I6" s="177"/>
      <c r="J6" s="177"/>
      <c r="L6" s="178"/>
      <c r="M6" s="178"/>
      <c r="N6" s="538" t="s">
        <v>115</v>
      </c>
      <c r="O6" s="538"/>
      <c r="P6" s="180"/>
    </row>
    <row r="7" spans="1:16" ht="15.75" hidden="1">
      <c r="A7" s="543" t="s">
        <v>116</v>
      </c>
      <c r="B7" s="543"/>
      <c r="C7" s="544"/>
      <c r="D7" s="412"/>
      <c r="E7" s="184">
        <v>2</v>
      </c>
      <c r="F7" s="540" t="s">
        <v>182</v>
      </c>
      <c r="G7" s="540"/>
      <c r="H7" s="421"/>
      <c r="I7" s="177"/>
      <c r="J7" s="177"/>
      <c r="K7" s="180"/>
      <c r="L7" s="178"/>
      <c r="M7" s="178" t="s">
        <v>117</v>
      </c>
      <c r="N7" s="178"/>
      <c r="O7" s="180"/>
      <c r="P7" s="180"/>
    </row>
    <row r="8" spans="1:16" ht="15.75" hidden="1">
      <c r="A8" s="520" t="s">
        <v>201</v>
      </c>
      <c r="B8" s="520"/>
      <c r="C8" s="520"/>
      <c r="D8" s="520"/>
      <c r="E8" s="520"/>
      <c r="F8" s="520"/>
      <c r="G8" s="520"/>
      <c r="H8" s="408"/>
      <c r="I8" s="177"/>
      <c r="J8" s="177"/>
      <c r="M8" s="178" t="s">
        <v>118</v>
      </c>
      <c r="O8" s="188">
        <f>B30</f>
        <v>13.73</v>
      </c>
      <c r="P8" s="178" t="s">
        <v>119</v>
      </c>
    </row>
    <row r="9" spans="1:16" ht="15.75" hidden="1">
      <c r="A9" s="189"/>
      <c r="B9" s="190"/>
      <c r="C9" s="190"/>
      <c r="D9" s="190"/>
      <c r="E9" s="190"/>
      <c r="F9" s="190"/>
      <c r="G9" s="190"/>
      <c r="H9" s="190"/>
      <c r="I9" s="190"/>
      <c r="J9" s="190"/>
      <c r="L9" s="191"/>
      <c r="M9" s="191" t="s">
        <v>128</v>
      </c>
      <c r="N9" s="191"/>
      <c r="O9" s="192"/>
      <c r="P9" s="180"/>
    </row>
    <row r="10" spans="1:16" hidden="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94"/>
      <c r="O10" s="193"/>
      <c r="P10" s="180"/>
    </row>
    <row r="11" spans="1:16" hidden="1">
      <c r="A11" s="195" t="s">
        <v>8</v>
      </c>
      <c r="B11" s="545" t="s">
        <v>10</v>
      </c>
      <c r="C11" s="547" t="s">
        <v>69</v>
      </c>
      <c r="D11" s="410"/>
      <c r="E11" s="549" t="s">
        <v>11</v>
      </c>
      <c r="F11" s="551" t="s">
        <v>96</v>
      </c>
      <c r="G11" s="552"/>
      <c r="H11" s="552"/>
      <c r="I11" s="552"/>
      <c r="J11" s="552"/>
      <c r="K11" s="552"/>
      <c r="L11" s="552"/>
      <c r="M11" s="552"/>
      <c r="N11" s="552"/>
      <c r="O11" s="553"/>
      <c r="P11" s="541" t="s">
        <v>97</v>
      </c>
    </row>
    <row r="12" spans="1:16" ht="24" hidden="1">
      <c r="A12" s="196" t="s">
        <v>9</v>
      </c>
      <c r="B12" s="546"/>
      <c r="C12" s="548"/>
      <c r="D12" s="411"/>
      <c r="E12" s="550"/>
      <c r="F12" s="197" t="s">
        <v>16</v>
      </c>
      <c r="G12" s="197" t="s">
        <v>17</v>
      </c>
      <c r="H12" s="197"/>
      <c r="I12" s="197" t="s">
        <v>59</v>
      </c>
      <c r="J12" s="198" t="s">
        <v>41</v>
      </c>
      <c r="K12" s="198" t="s">
        <v>42</v>
      </c>
      <c r="L12" s="197" t="s">
        <v>45</v>
      </c>
      <c r="M12" s="198" t="s">
        <v>43</v>
      </c>
      <c r="N12" s="197" t="s">
        <v>44</v>
      </c>
      <c r="O12" s="198" t="s">
        <v>84</v>
      </c>
      <c r="P12" s="542"/>
    </row>
    <row r="13" spans="1:16" hidden="1">
      <c r="A13" s="515" t="s">
        <v>18</v>
      </c>
      <c r="B13" s="515"/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</row>
    <row r="14" spans="1:16" hidden="1">
      <c r="A14" s="199" t="s">
        <v>19</v>
      </c>
      <c r="B14" s="200">
        <v>1</v>
      </c>
      <c r="C14" s="200">
        <v>8613</v>
      </c>
      <c r="D14" s="200"/>
      <c r="E14" s="201">
        <f>B14*C14</f>
        <v>8613</v>
      </c>
      <c r="F14" s="202"/>
      <c r="G14" s="202"/>
      <c r="H14" s="202"/>
      <c r="I14" s="202"/>
      <c r="J14" s="202"/>
      <c r="K14" s="202">
        <v>1969.75</v>
      </c>
      <c r="L14" s="202">
        <v>9848.75</v>
      </c>
      <c r="M14" s="202">
        <v>7879</v>
      </c>
      <c r="N14" s="202">
        <v>17727.75</v>
      </c>
      <c r="O14" s="202"/>
      <c r="P14" s="201">
        <v>17727.75</v>
      </c>
    </row>
    <row r="15" spans="1:16" ht="36" hidden="1">
      <c r="A15" s="203" t="s">
        <v>188</v>
      </c>
      <c r="B15" s="250">
        <v>0.5</v>
      </c>
      <c r="C15" s="250">
        <v>6890</v>
      </c>
      <c r="D15" s="409"/>
      <c r="E15" s="372">
        <f>B15*C15</f>
        <v>3445</v>
      </c>
      <c r="F15" s="341"/>
      <c r="G15" s="341"/>
      <c r="H15" s="341"/>
      <c r="I15" s="341"/>
      <c r="J15" s="341"/>
      <c r="K15" s="341">
        <v>787.875</v>
      </c>
      <c r="L15" s="341">
        <v>3939.375</v>
      </c>
      <c r="M15" s="341">
        <v>3151.5</v>
      </c>
      <c r="N15" s="341">
        <v>7090.875</v>
      </c>
      <c r="O15" s="341"/>
      <c r="P15" s="341">
        <v>7090.875</v>
      </c>
    </row>
    <row r="16" spans="1:16" hidden="1">
      <c r="A16" s="248" t="s">
        <v>15</v>
      </c>
      <c r="B16" s="253">
        <v>1.5</v>
      </c>
      <c r="C16" s="253"/>
      <c r="D16" s="253"/>
      <c r="E16" s="254">
        <v>11030.5</v>
      </c>
      <c r="F16" s="254"/>
      <c r="G16" s="254"/>
      <c r="H16" s="254"/>
      <c r="I16" s="254"/>
      <c r="J16" s="254"/>
      <c r="K16" s="254">
        <v>2757.625</v>
      </c>
      <c r="L16" s="254">
        <v>13788.125</v>
      </c>
      <c r="M16" s="254">
        <v>11030.5</v>
      </c>
      <c r="N16" s="254">
        <v>24818.625</v>
      </c>
      <c r="O16" s="254"/>
      <c r="P16" s="254">
        <v>24818.625</v>
      </c>
    </row>
    <row r="17" spans="1:16" hidden="1">
      <c r="A17" s="516" t="s">
        <v>22</v>
      </c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</row>
    <row r="18" spans="1:16" hidden="1">
      <c r="A18" s="203" t="s">
        <v>23</v>
      </c>
      <c r="B18" s="204">
        <v>1.22</v>
      </c>
      <c r="C18" s="204">
        <v>8022</v>
      </c>
      <c r="D18" s="204"/>
      <c r="E18" s="333">
        <v>9804.67</v>
      </c>
      <c r="F18" s="333"/>
      <c r="G18" s="333"/>
      <c r="H18" s="333"/>
      <c r="I18" s="333">
        <v>1000</v>
      </c>
      <c r="J18" s="333">
        <v>568.23</v>
      </c>
      <c r="K18" s="333">
        <f>E18*25%</f>
        <v>2451.1675</v>
      </c>
      <c r="L18" s="333">
        <f>E18+F18+G18+I18+J18+K18</f>
        <v>13824.067499999999</v>
      </c>
      <c r="M18" s="333">
        <f>L18*80%-0.01</f>
        <v>11059.244000000001</v>
      </c>
      <c r="N18" s="333">
        <f>L18+M18</f>
        <v>24883.3115</v>
      </c>
      <c r="O18" s="257"/>
      <c r="P18" s="333">
        <f>N18</f>
        <v>24883.3115</v>
      </c>
    </row>
    <row r="19" spans="1:16" hidden="1">
      <c r="A19" s="203" t="s">
        <v>23</v>
      </c>
      <c r="B19" s="204">
        <v>4.34</v>
      </c>
      <c r="C19" s="204">
        <v>8476</v>
      </c>
      <c r="D19" s="204"/>
      <c r="E19" s="333">
        <v>39083.78</v>
      </c>
      <c r="F19" s="333"/>
      <c r="G19" s="333"/>
      <c r="H19" s="333"/>
      <c r="I19" s="333">
        <v>428.57</v>
      </c>
      <c r="J19" s="333">
        <v>918.23</v>
      </c>
      <c r="K19" s="333">
        <f>E19*25%</f>
        <v>9770.9449999999997</v>
      </c>
      <c r="L19" s="333">
        <f>E19+F19+G19+I19+J19+K19</f>
        <v>50201.525000000001</v>
      </c>
      <c r="M19" s="333">
        <f>L19*80%</f>
        <v>40161.22</v>
      </c>
      <c r="N19" s="333">
        <f>L19+M19</f>
        <v>90362.744999999995</v>
      </c>
      <c r="O19" s="257"/>
      <c r="P19" s="333">
        <f>N19</f>
        <v>90362.744999999995</v>
      </c>
    </row>
    <row r="20" spans="1:16" hidden="1">
      <c r="A20" s="203" t="s">
        <v>180</v>
      </c>
      <c r="B20" s="205">
        <v>0.17</v>
      </c>
      <c r="C20" s="205"/>
      <c r="D20" s="205"/>
      <c r="E20" s="333"/>
      <c r="F20" s="257"/>
      <c r="G20" s="257"/>
      <c r="H20" s="257"/>
      <c r="I20" s="257"/>
      <c r="J20" s="257"/>
      <c r="K20" s="333"/>
      <c r="L20" s="333"/>
      <c r="M20" s="333"/>
      <c r="N20" s="333"/>
      <c r="O20" s="257"/>
      <c r="P20" s="333"/>
    </row>
    <row r="21" spans="1:16" hidden="1">
      <c r="A21" s="248" t="s">
        <v>15</v>
      </c>
      <c r="B21" s="253">
        <f>SUM(B18:B20)</f>
        <v>5.7299999999999995</v>
      </c>
      <c r="C21" s="253"/>
      <c r="D21" s="253"/>
      <c r="E21" s="255">
        <f>SUM(E18:E20)</f>
        <v>48888.45</v>
      </c>
      <c r="F21" s="255"/>
      <c r="G21" s="255"/>
      <c r="H21" s="255"/>
      <c r="I21" s="255">
        <f t="shared" ref="I21:N21" si="0">SUM(I18:I20)</f>
        <v>1428.57</v>
      </c>
      <c r="J21" s="255">
        <f t="shared" si="0"/>
        <v>1486.46</v>
      </c>
      <c r="K21" s="255">
        <f t="shared" si="0"/>
        <v>12222.112499999999</v>
      </c>
      <c r="L21" s="255">
        <f t="shared" si="0"/>
        <v>64025.592499999999</v>
      </c>
      <c r="M21" s="255">
        <f t="shared" si="0"/>
        <v>51220.464</v>
      </c>
      <c r="N21" s="255">
        <f t="shared" si="0"/>
        <v>115246.05649999999</v>
      </c>
      <c r="O21" s="255"/>
      <c r="P21" s="255">
        <f>SUM(P18:P20)</f>
        <v>115246.05649999999</v>
      </c>
    </row>
    <row r="22" spans="1:16" hidden="1">
      <c r="A22" s="517" t="s">
        <v>152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</row>
    <row r="23" spans="1:16" hidden="1">
      <c r="A23" s="206" t="s">
        <v>12</v>
      </c>
      <c r="B23" s="205">
        <v>1</v>
      </c>
      <c r="C23" s="213">
        <v>2656</v>
      </c>
      <c r="D23" s="213"/>
      <c r="E23" s="257">
        <f>B23*C23</f>
        <v>2656</v>
      </c>
      <c r="F23" s="257"/>
      <c r="G23" s="257"/>
      <c r="H23" s="257"/>
      <c r="I23" s="257"/>
      <c r="J23" s="257"/>
      <c r="K23" s="305">
        <f>(E23+F23+G23)*25%</f>
        <v>664</v>
      </c>
      <c r="L23" s="305">
        <f>SUM(E23:K23)</f>
        <v>3320</v>
      </c>
      <c r="M23" s="305">
        <f>L23*80%</f>
        <v>2656</v>
      </c>
      <c r="N23" s="305">
        <f>M23+L23</f>
        <v>5976</v>
      </c>
      <c r="O23" s="305">
        <f>O31*B23*1.8-(N23/70*30+N23)</f>
        <v>11556.257142857145</v>
      </c>
      <c r="P23" s="306">
        <f>N23+O23</f>
        <v>17532.257142857146</v>
      </c>
    </row>
    <row r="24" spans="1:16" hidden="1">
      <c r="A24" s="206" t="s">
        <v>0</v>
      </c>
      <c r="B24" s="205">
        <v>1</v>
      </c>
      <c r="C24" s="213">
        <v>2656</v>
      </c>
      <c r="D24" s="213"/>
      <c r="E24" s="257">
        <f>B24*C24</f>
        <v>2656</v>
      </c>
      <c r="F24" s="257"/>
      <c r="G24" s="257"/>
      <c r="H24" s="257"/>
      <c r="I24" s="257"/>
      <c r="J24" s="257"/>
      <c r="K24" s="305">
        <f>(E24+F24+G24)*25%</f>
        <v>664</v>
      </c>
      <c r="L24" s="305">
        <f>SUM(E24:K24)</f>
        <v>3320</v>
      </c>
      <c r="M24" s="305">
        <f>L24*80%</f>
        <v>2656</v>
      </c>
      <c r="N24" s="305">
        <f>M24+L24</f>
        <v>5976</v>
      </c>
      <c r="O24" s="305">
        <f>O31*B24*1.8-(N24/70*30+N24)</f>
        <v>11556.257142857145</v>
      </c>
      <c r="P24" s="306">
        <f>N24+O24</f>
        <v>17532.257142857146</v>
      </c>
    </row>
    <row r="25" spans="1:16" hidden="1">
      <c r="A25" s="206" t="s">
        <v>13</v>
      </c>
      <c r="B25" s="205">
        <v>4</v>
      </c>
      <c r="C25" s="213">
        <v>3052</v>
      </c>
      <c r="D25" s="213"/>
      <c r="E25" s="257">
        <f>B25*C25</f>
        <v>12208</v>
      </c>
      <c r="F25" s="307">
        <f>C25/165.5*61*35%*B25</f>
        <v>1574.8688821752264</v>
      </c>
      <c r="G25" s="307">
        <f>C25*12/1986*288/12*B25</f>
        <v>1770.344410876133</v>
      </c>
      <c r="H25" s="307"/>
      <c r="I25" s="257"/>
      <c r="J25" s="257"/>
      <c r="K25" s="305">
        <f>(E25+F25+G25)*25%</f>
        <v>3888.3033232628395</v>
      </c>
      <c r="L25" s="305">
        <f>SUM(E25:K25)</f>
        <v>19441.516616314198</v>
      </c>
      <c r="M25" s="305">
        <f>L25*80%</f>
        <v>15553.21329305136</v>
      </c>
      <c r="N25" s="305">
        <f>M25+L25</f>
        <v>34994.72990936556</v>
      </c>
      <c r="O25" s="305">
        <f>O31*B25*1.8-(N25/70*30+N25)</f>
        <v>30381.128700906345</v>
      </c>
      <c r="P25" s="306">
        <f>N25+O25</f>
        <v>65375.858610271905</v>
      </c>
    </row>
    <row r="26" spans="1:16" hidden="1">
      <c r="A26" s="252" t="s">
        <v>15</v>
      </c>
      <c r="B26" s="253">
        <f>SUM(B23:B25)</f>
        <v>6</v>
      </c>
      <c r="C26" s="253"/>
      <c r="D26" s="253"/>
      <c r="E26" s="255"/>
      <c r="F26" s="255">
        <f>SUM(F23:F25)</f>
        <v>1574.8688821752264</v>
      </c>
      <c r="G26" s="255">
        <f>SUM(G23:G25)</f>
        <v>1770.344410876133</v>
      </c>
      <c r="H26" s="255"/>
      <c r="I26" s="255"/>
      <c r="J26" s="255"/>
      <c r="K26" s="255">
        <f t="shared" ref="K26:P26" si="1">SUM(K23:K25)</f>
        <v>5216.3033232628395</v>
      </c>
      <c r="L26" s="255">
        <f t="shared" si="1"/>
        <v>26081.516616314198</v>
      </c>
      <c r="M26" s="255">
        <f t="shared" si="1"/>
        <v>20865.213293051362</v>
      </c>
      <c r="N26" s="255">
        <f t="shared" si="1"/>
        <v>46946.72990936556</v>
      </c>
      <c r="O26" s="255">
        <f t="shared" si="1"/>
        <v>53493.642986620631</v>
      </c>
      <c r="P26" s="255">
        <f t="shared" si="1"/>
        <v>100440.37289598619</v>
      </c>
    </row>
    <row r="27" spans="1:16" hidden="1">
      <c r="A27" s="517" t="s">
        <v>4</v>
      </c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</row>
    <row r="28" spans="1:16" ht="24" hidden="1">
      <c r="A28" s="249" t="s">
        <v>58</v>
      </c>
      <c r="B28" s="250">
        <v>0.5</v>
      </c>
      <c r="C28" s="251">
        <v>2944</v>
      </c>
      <c r="D28" s="251"/>
      <c r="E28" s="306">
        <f>B28*C28</f>
        <v>1472</v>
      </c>
      <c r="F28" s="306"/>
      <c r="G28" s="306"/>
      <c r="H28" s="306"/>
      <c r="I28" s="306"/>
      <c r="J28" s="306"/>
      <c r="K28" s="305">
        <f>(E28+F28+G28)*25%</f>
        <v>368</v>
      </c>
      <c r="L28" s="305">
        <f>SUM(E28:K28)</f>
        <v>1840</v>
      </c>
      <c r="M28" s="305">
        <f>L28*80%</f>
        <v>1472</v>
      </c>
      <c r="N28" s="305">
        <f>M28+L28</f>
        <v>3312</v>
      </c>
      <c r="O28" s="305">
        <f>O31*B28*1.8-(N28/70*30+N28)</f>
        <v>5315.2714285714292</v>
      </c>
      <c r="P28" s="306">
        <f>N28+O28</f>
        <v>8627.2714285714283</v>
      </c>
    </row>
    <row r="29" spans="1:16" hidden="1">
      <c r="A29" s="302" t="s">
        <v>15</v>
      </c>
      <c r="B29" s="303">
        <f>B28</f>
        <v>0.5</v>
      </c>
      <c r="C29" s="303">
        <f t="shared" ref="C29:P29" si="2">C28</f>
        <v>2944</v>
      </c>
      <c r="D29" s="303"/>
      <c r="E29" s="303"/>
      <c r="F29" s="303"/>
      <c r="G29" s="303"/>
      <c r="H29" s="303"/>
      <c r="I29" s="303"/>
      <c r="J29" s="303"/>
      <c r="K29" s="304">
        <f t="shared" si="2"/>
        <v>368</v>
      </c>
      <c r="L29" s="304">
        <f t="shared" si="2"/>
        <v>1840</v>
      </c>
      <c r="M29" s="304">
        <f t="shared" si="2"/>
        <v>1472</v>
      </c>
      <c r="N29" s="304">
        <f t="shared" si="2"/>
        <v>3312</v>
      </c>
      <c r="O29" s="304">
        <f t="shared" si="2"/>
        <v>5315.2714285714292</v>
      </c>
      <c r="P29" s="304">
        <f t="shared" si="2"/>
        <v>8627.2714285714283</v>
      </c>
    </row>
    <row r="30" spans="1:16" hidden="1">
      <c r="A30" s="256" t="s">
        <v>5</v>
      </c>
      <c r="B30" s="281">
        <f>B16+B21+B26+B29</f>
        <v>13.73</v>
      </c>
      <c r="C30" s="281"/>
      <c r="D30" s="281"/>
      <c r="E30" s="308"/>
      <c r="F30" s="308">
        <f t="shared" ref="F30:P30" si="3">F16+F21+F26+F29</f>
        <v>1574.8688821752264</v>
      </c>
      <c r="G30" s="308">
        <f t="shared" si="3"/>
        <v>1770.344410876133</v>
      </c>
      <c r="H30" s="308"/>
      <c r="I30" s="308">
        <f t="shared" si="3"/>
        <v>1428.57</v>
      </c>
      <c r="J30" s="308">
        <f t="shared" si="3"/>
        <v>1486.46</v>
      </c>
      <c r="K30" s="308">
        <f t="shared" si="3"/>
        <v>20564.04082326284</v>
      </c>
      <c r="L30" s="308">
        <f t="shared" si="3"/>
        <v>105735.2341163142</v>
      </c>
      <c r="M30" s="308">
        <f t="shared" si="3"/>
        <v>84588.177293051354</v>
      </c>
      <c r="N30" s="308">
        <f t="shared" si="3"/>
        <v>190323.41140936557</v>
      </c>
      <c r="O30" s="308">
        <f t="shared" si="3"/>
        <v>58808.914415192063</v>
      </c>
      <c r="P30" s="308">
        <f t="shared" si="3"/>
        <v>249132.32582455763</v>
      </c>
    </row>
    <row r="31" spans="1:16" hidden="1">
      <c r="A31" s="207" t="s">
        <v>95</v>
      </c>
      <c r="B31" s="180"/>
      <c r="C31" s="180"/>
      <c r="D31" s="180"/>
      <c r="E31" s="180"/>
      <c r="F31" s="310"/>
      <c r="G31" s="518" t="s">
        <v>161</v>
      </c>
      <c r="H31" s="518"/>
      <c r="I31" s="518"/>
      <c r="J31" s="518"/>
      <c r="K31" s="518"/>
      <c r="L31" s="208"/>
      <c r="M31" s="180"/>
      <c r="N31" s="342" t="s">
        <v>183</v>
      </c>
      <c r="O31" s="343">
        <v>11163</v>
      </c>
      <c r="P31" s="180"/>
    </row>
    <row r="32" spans="1:16" hidden="1">
      <c r="A32" s="180" t="s">
        <v>87</v>
      </c>
      <c r="B32" s="209"/>
      <c r="C32" s="209"/>
      <c r="D32" s="209"/>
      <c r="E32" s="309">
        <f>P16+P21+P26</f>
        <v>240505.0543959862</v>
      </c>
      <c r="F32" s="180"/>
      <c r="G32" s="180" t="s">
        <v>87</v>
      </c>
      <c r="H32" s="180"/>
      <c r="I32" s="210"/>
      <c r="J32" s="209"/>
      <c r="K32" s="209"/>
      <c r="L32" s="309">
        <f>P29</f>
        <v>8627.2714285714283</v>
      </c>
      <c r="M32" s="210"/>
      <c r="N32" s="180"/>
      <c r="O32" s="180"/>
      <c r="P32" s="180"/>
    </row>
    <row r="33" spans="1:16" hidden="1">
      <c r="A33" s="180" t="s">
        <v>90</v>
      </c>
      <c r="B33" s="209"/>
      <c r="C33" s="209"/>
      <c r="D33" s="209"/>
      <c r="E33" s="309">
        <f>(N16+N21+N26)/70*30</f>
        <v>80147.747746870955</v>
      </c>
      <c r="F33" s="180"/>
      <c r="G33" s="180" t="s">
        <v>90</v>
      </c>
      <c r="H33" s="180"/>
      <c r="I33" s="210"/>
      <c r="J33" s="209"/>
      <c r="K33" s="209"/>
      <c r="L33" s="309">
        <f>N29/70*30</f>
        <v>1419.4285714285716</v>
      </c>
      <c r="M33" s="210"/>
      <c r="N33" s="180"/>
      <c r="O33" s="180"/>
      <c r="P33" s="180"/>
    </row>
    <row r="34" spans="1:16" hidden="1">
      <c r="A34" s="180" t="s">
        <v>32</v>
      </c>
      <c r="B34" s="209"/>
      <c r="C34" s="209"/>
      <c r="D34" s="209"/>
      <c r="E34" s="309">
        <f>SUM(E32:E33)</f>
        <v>320652.80214285717</v>
      </c>
      <c r="F34" s="180"/>
      <c r="G34" s="180" t="s">
        <v>32</v>
      </c>
      <c r="H34" s="180"/>
      <c r="I34" s="210"/>
      <c r="J34" s="209"/>
      <c r="K34" s="209"/>
      <c r="L34" s="309">
        <f>SUM(L32:L33)</f>
        <v>10046.700000000001</v>
      </c>
      <c r="M34" s="210"/>
      <c r="N34" s="180"/>
      <c r="O34" s="180"/>
      <c r="P34" s="180"/>
    </row>
    <row r="35" spans="1:16" hidden="1">
      <c r="A35" s="211"/>
      <c r="B35" s="180"/>
      <c r="C35" s="180"/>
      <c r="D35" s="180"/>
      <c r="E35" s="180"/>
      <c r="F35" s="180"/>
      <c r="G35" s="180"/>
      <c r="H35" s="180"/>
      <c r="I35" s="209"/>
      <c r="J35" s="209"/>
      <c r="K35" s="209"/>
      <c r="L35" s="210"/>
      <c r="M35" s="210"/>
      <c r="N35" s="180"/>
      <c r="O35" s="180"/>
      <c r="P35" s="180"/>
    </row>
    <row r="36" spans="1:16" ht="15" hidden="1">
      <c r="A36" s="317" t="s">
        <v>165</v>
      </c>
      <c r="B36" s="209"/>
      <c r="C36" s="209"/>
      <c r="D36" s="209"/>
      <c r="E36" s="180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</row>
    <row r="37" spans="1:16" hidden="1">
      <c r="A37" s="317" t="s">
        <v>149</v>
      </c>
      <c r="B37" s="209"/>
      <c r="C37" s="209"/>
      <c r="D37" s="209"/>
      <c r="E37" s="180" t="s">
        <v>64</v>
      </c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</row>
    <row r="38" spans="1:16" hidden="1"/>
    <row r="39" spans="1:16" ht="15.75">
      <c r="A39" s="176" t="s">
        <v>120</v>
      </c>
      <c r="B39" s="176"/>
      <c r="C39" s="176"/>
      <c r="D39" s="176"/>
      <c r="E39" s="176"/>
      <c r="F39" s="177"/>
      <c r="G39" s="177"/>
      <c r="H39" s="177"/>
      <c r="I39" s="177"/>
      <c r="J39" s="177"/>
      <c r="K39" s="178"/>
      <c r="L39" s="179"/>
      <c r="M39" s="179"/>
      <c r="N39" s="533" t="s">
        <v>109</v>
      </c>
      <c r="O39" s="533"/>
      <c r="P39" s="533"/>
    </row>
    <row r="40" spans="1:16" ht="19.5" customHeight="1">
      <c r="A40" s="176" t="s">
        <v>121</v>
      </c>
      <c r="B40" s="176"/>
      <c r="C40" s="176"/>
      <c r="D40" s="176"/>
      <c r="E40" s="176"/>
      <c r="F40" s="177"/>
      <c r="G40" s="177"/>
      <c r="H40" s="177"/>
      <c r="I40" s="177"/>
      <c r="J40" s="177"/>
      <c r="K40" s="181"/>
      <c r="L40" s="179"/>
      <c r="M40" s="179"/>
      <c r="N40" s="533"/>
      <c r="O40" s="533"/>
      <c r="P40" s="533"/>
    </row>
    <row r="41" spans="1:16" ht="15.75">
      <c r="A41" s="176"/>
      <c r="B41" s="176"/>
      <c r="C41" s="176"/>
      <c r="D41" s="176"/>
      <c r="E41" s="176"/>
      <c r="F41" s="177"/>
      <c r="G41" s="177"/>
      <c r="H41" s="177"/>
      <c r="I41" s="177"/>
      <c r="J41" s="177"/>
      <c r="K41" s="181"/>
      <c r="L41" s="181"/>
      <c r="M41" s="181"/>
      <c r="N41" s="180"/>
      <c r="O41" s="180"/>
      <c r="P41" s="182" t="s">
        <v>110</v>
      </c>
    </row>
    <row r="42" spans="1:16" ht="15.75">
      <c r="A42" s="176" t="s">
        <v>122</v>
      </c>
      <c r="B42" s="176"/>
      <c r="C42" s="176"/>
      <c r="D42" s="176"/>
      <c r="E42" s="176"/>
      <c r="F42" s="177"/>
      <c r="G42" s="177"/>
      <c r="H42" s="177"/>
      <c r="I42" s="177"/>
      <c r="J42" s="177"/>
      <c r="K42" s="183"/>
      <c r="L42" s="180"/>
      <c r="M42" s="180"/>
      <c r="N42" s="534" t="s">
        <v>111</v>
      </c>
      <c r="O42" s="535"/>
      <c r="P42" s="184">
        <v>301017</v>
      </c>
    </row>
    <row r="43" spans="1:16" ht="18.75">
      <c r="A43" s="176"/>
      <c r="B43" s="536" t="s">
        <v>255</v>
      </c>
      <c r="C43" s="536"/>
      <c r="D43" s="536"/>
      <c r="E43" s="536"/>
      <c r="F43" s="536"/>
      <c r="G43" s="536"/>
      <c r="H43" s="536"/>
      <c r="I43" s="536"/>
      <c r="J43" s="536"/>
      <c r="K43" s="536"/>
      <c r="L43" s="180"/>
      <c r="M43" s="180"/>
      <c r="N43" s="178"/>
      <c r="O43" s="185" t="s">
        <v>112</v>
      </c>
      <c r="P43" s="186"/>
    </row>
    <row r="44" spans="1:16" ht="15.75">
      <c r="A44" s="176"/>
      <c r="B44" s="176"/>
      <c r="C44" s="176"/>
      <c r="D44" s="176"/>
      <c r="E44" s="187" t="s">
        <v>113</v>
      </c>
      <c r="F44" s="537" t="s">
        <v>114</v>
      </c>
      <c r="G44" s="537"/>
      <c r="H44" s="420"/>
      <c r="I44" s="177"/>
      <c r="J44" s="177"/>
      <c r="L44" s="178"/>
      <c r="M44" s="178"/>
      <c r="N44" s="538" t="s">
        <v>115</v>
      </c>
      <c r="O44" s="538"/>
      <c r="P44" s="180"/>
    </row>
    <row r="45" spans="1:16" ht="15.75">
      <c r="A45" s="539" t="s">
        <v>116</v>
      </c>
      <c r="B45" s="539"/>
      <c r="C45" s="539"/>
      <c r="D45" s="412"/>
      <c r="E45" s="184">
        <v>3</v>
      </c>
      <c r="F45" s="540" t="s">
        <v>277</v>
      </c>
      <c r="G45" s="540"/>
      <c r="H45" s="421"/>
      <c r="I45" s="177"/>
      <c r="J45" s="177"/>
      <c r="K45" s="180"/>
      <c r="L45" s="178"/>
      <c r="M45" s="178" t="s">
        <v>253</v>
      </c>
      <c r="N45" s="178"/>
      <c r="O45" s="180"/>
      <c r="P45" s="180"/>
    </row>
    <row r="46" spans="1:16" ht="15.75">
      <c r="A46" s="520" t="s">
        <v>278</v>
      </c>
      <c r="B46" s="520"/>
      <c r="C46" s="520"/>
      <c r="D46" s="520"/>
      <c r="E46" s="520"/>
      <c r="F46" s="520"/>
      <c r="G46" s="520"/>
      <c r="H46" s="408"/>
      <c r="I46" s="177"/>
      <c r="J46" s="177"/>
      <c r="M46" s="178" t="s">
        <v>118</v>
      </c>
      <c r="O46" s="188">
        <f>B66</f>
        <v>14.33</v>
      </c>
      <c r="P46" s="178" t="s">
        <v>119</v>
      </c>
    </row>
    <row r="47" spans="1:16" ht="15.75">
      <c r="A47" s="519"/>
      <c r="B47" s="519"/>
      <c r="C47" s="519"/>
      <c r="D47" s="519"/>
      <c r="E47" s="519"/>
      <c r="F47" s="519"/>
      <c r="G47" s="519"/>
      <c r="H47" s="519"/>
      <c r="I47" s="519"/>
      <c r="J47" s="519"/>
      <c r="L47" s="191"/>
      <c r="M47" s="191" t="s">
        <v>227</v>
      </c>
      <c r="N47" s="191"/>
      <c r="O47" s="192"/>
      <c r="P47" s="180"/>
    </row>
    <row r="48" spans="1:16" ht="15">
      <c r="A48" s="532"/>
      <c r="B48" s="532"/>
      <c r="C48" s="532"/>
      <c r="D48" s="532"/>
      <c r="E48" s="532"/>
      <c r="F48" s="532"/>
      <c r="G48" s="532"/>
      <c r="H48" s="532"/>
      <c r="I48" s="532"/>
      <c r="J48" s="532"/>
      <c r="K48" s="426"/>
      <c r="L48" s="426"/>
      <c r="M48" s="194"/>
      <c r="N48" s="194"/>
      <c r="O48" s="193"/>
      <c r="P48" s="180"/>
    </row>
    <row r="49" spans="1:16">
      <c r="A49" s="416" t="s">
        <v>8</v>
      </c>
      <c r="B49" s="521" t="s">
        <v>10</v>
      </c>
      <c r="C49" s="523" t="s">
        <v>231</v>
      </c>
      <c r="D49" s="523" t="s">
        <v>233</v>
      </c>
      <c r="E49" s="525" t="s">
        <v>235</v>
      </c>
      <c r="F49" s="527" t="s">
        <v>96</v>
      </c>
      <c r="G49" s="528"/>
      <c r="H49" s="528"/>
      <c r="I49" s="528"/>
      <c r="J49" s="528"/>
      <c r="K49" s="528"/>
      <c r="L49" s="528"/>
      <c r="M49" s="528"/>
      <c r="N49" s="528"/>
      <c r="O49" s="529"/>
      <c r="P49" s="530" t="s">
        <v>97</v>
      </c>
    </row>
    <row r="50" spans="1:16" ht="24">
      <c r="A50" s="417" t="s">
        <v>9</v>
      </c>
      <c r="B50" s="522"/>
      <c r="C50" s="524"/>
      <c r="D50" s="524"/>
      <c r="E50" s="526"/>
      <c r="F50" s="418" t="s">
        <v>16</v>
      </c>
      <c r="G50" s="418" t="s">
        <v>17</v>
      </c>
      <c r="H50" s="418" t="s">
        <v>236</v>
      </c>
      <c r="I50" s="418" t="s">
        <v>59</v>
      </c>
      <c r="J50" s="419" t="s">
        <v>41</v>
      </c>
      <c r="K50" s="419" t="s">
        <v>42</v>
      </c>
      <c r="L50" s="418" t="s">
        <v>45</v>
      </c>
      <c r="M50" s="419" t="s">
        <v>43</v>
      </c>
      <c r="N50" s="418" t="s">
        <v>44</v>
      </c>
      <c r="O50" s="419" t="s">
        <v>84</v>
      </c>
      <c r="P50" s="531"/>
    </row>
    <row r="51" spans="1:16">
      <c r="A51" s="515" t="s">
        <v>18</v>
      </c>
      <c r="B51" s="515"/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</row>
    <row r="52" spans="1:16">
      <c r="A52" s="199" t="s">
        <v>19</v>
      </c>
      <c r="B52" s="200">
        <v>1</v>
      </c>
      <c r="C52" s="200">
        <v>17010</v>
      </c>
      <c r="D52" s="200"/>
      <c r="E52" s="201">
        <f>B52*C52</f>
        <v>17010</v>
      </c>
      <c r="F52" s="202"/>
      <c r="G52" s="202"/>
      <c r="H52" s="202"/>
      <c r="I52" s="202"/>
      <c r="J52" s="202"/>
      <c r="K52" s="202">
        <f>E52*25%</f>
        <v>4252.5</v>
      </c>
      <c r="L52" s="202">
        <f>E52+K52</f>
        <v>21262.5</v>
      </c>
      <c r="M52" s="202">
        <f>L52*80%</f>
        <v>17010</v>
      </c>
      <c r="N52" s="202">
        <f>L52+M52</f>
        <v>38272.5</v>
      </c>
      <c r="O52" s="202"/>
      <c r="P52" s="201">
        <f>N52+O52</f>
        <v>38272.5</v>
      </c>
    </row>
    <row r="53" spans="1:16" ht="36">
      <c r="A53" s="203" t="s">
        <v>188</v>
      </c>
      <c r="B53" s="250">
        <v>0.5</v>
      </c>
      <c r="C53" s="250">
        <v>15309</v>
      </c>
      <c r="D53" s="409"/>
      <c r="E53" s="372">
        <f>B53*C53</f>
        <v>7654.5</v>
      </c>
      <c r="F53" s="341"/>
      <c r="G53" s="341"/>
      <c r="H53" s="341"/>
      <c r="I53" s="341"/>
      <c r="J53" s="341"/>
      <c r="K53" s="442">
        <f>E53*25%</f>
        <v>1913.625</v>
      </c>
      <c r="L53" s="442">
        <f>E53+K53</f>
        <v>9568.125</v>
      </c>
      <c r="M53" s="442">
        <f>L53*80%</f>
        <v>7654.5</v>
      </c>
      <c r="N53" s="442">
        <f>L53+M53</f>
        <v>17222.625</v>
      </c>
      <c r="O53" s="442"/>
      <c r="P53" s="372">
        <f>N53+O53</f>
        <v>17222.625</v>
      </c>
    </row>
    <row r="54" spans="1:16">
      <c r="A54" s="248" t="s">
        <v>15</v>
      </c>
      <c r="B54" s="253">
        <f>B52+B53</f>
        <v>1.5</v>
      </c>
      <c r="C54" s="253">
        <f t="shared" ref="C54:P54" si="4">C52+C53</f>
        <v>32319</v>
      </c>
      <c r="D54" s="253"/>
      <c r="E54" s="255">
        <f t="shared" si="4"/>
        <v>24664.5</v>
      </c>
      <c r="F54" s="255"/>
      <c r="G54" s="255"/>
      <c r="H54" s="255"/>
      <c r="I54" s="255"/>
      <c r="J54" s="255"/>
      <c r="K54" s="255">
        <f t="shared" si="4"/>
        <v>6166.125</v>
      </c>
      <c r="L54" s="255">
        <f t="shared" si="4"/>
        <v>30830.625</v>
      </c>
      <c r="M54" s="255">
        <f t="shared" si="4"/>
        <v>24664.5</v>
      </c>
      <c r="N54" s="255">
        <f t="shared" si="4"/>
        <v>55495.125</v>
      </c>
      <c r="O54" s="255"/>
      <c r="P54" s="255">
        <f t="shared" si="4"/>
        <v>55495.125</v>
      </c>
    </row>
    <row r="55" spans="1:16">
      <c r="A55" s="516" t="s">
        <v>22</v>
      </c>
      <c r="B55" s="516"/>
      <c r="C55" s="516"/>
      <c r="D55" s="516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516"/>
    </row>
    <row r="56" spans="1:16">
      <c r="A56" s="203" t="s">
        <v>187</v>
      </c>
      <c r="B56" s="204">
        <v>4.83</v>
      </c>
      <c r="C56" s="204">
        <v>12600</v>
      </c>
      <c r="D56" s="204">
        <v>1.0580000000000001</v>
      </c>
      <c r="E56" s="333">
        <f>B56*C56*D56</f>
        <v>64387.764000000003</v>
      </c>
      <c r="F56" s="333"/>
      <c r="G56" s="333"/>
      <c r="H56" s="333">
        <v>1176</v>
      </c>
      <c r="I56" s="333">
        <v>1142.8599999999999</v>
      </c>
      <c r="J56" s="333">
        <v>2406.25</v>
      </c>
      <c r="K56" s="333">
        <f>E56*25%</f>
        <v>16096.941000000001</v>
      </c>
      <c r="L56" s="333">
        <f>E56+F56+G56+I56+J56+K56+H56</f>
        <v>85209.815000000017</v>
      </c>
      <c r="M56" s="333">
        <f>L56*80%</f>
        <v>68167.852000000014</v>
      </c>
      <c r="N56" s="333">
        <f>L56+M56</f>
        <v>153377.66700000002</v>
      </c>
      <c r="O56" s="257"/>
      <c r="P56" s="333">
        <f>N56</f>
        <v>153377.66700000002</v>
      </c>
    </row>
    <row r="57" spans="1:16">
      <c r="A57" s="248" t="s">
        <v>15</v>
      </c>
      <c r="B57" s="253">
        <f>SUM(B56:B56)</f>
        <v>4.83</v>
      </c>
      <c r="C57" s="253"/>
      <c r="D57" s="253"/>
      <c r="E57" s="255">
        <f>SUM(E56:E56)</f>
        <v>64387.764000000003</v>
      </c>
      <c r="F57" s="255"/>
      <c r="G57" s="255"/>
      <c r="H57" s="255">
        <f>SUM(H56)</f>
        <v>1176</v>
      </c>
      <c r="I57" s="255">
        <f t="shared" ref="I57:N57" si="5">SUM(I56:I56)</f>
        <v>1142.8599999999999</v>
      </c>
      <c r="J57" s="255">
        <f t="shared" si="5"/>
        <v>2406.25</v>
      </c>
      <c r="K57" s="255">
        <f t="shared" si="5"/>
        <v>16096.941000000001</v>
      </c>
      <c r="L57" s="255">
        <f t="shared" si="5"/>
        <v>85209.815000000017</v>
      </c>
      <c r="M57" s="255">
        <f t="shared" si="5"/>
        <v>68167.852000000014</v>
      </c>
      <c r="N57" s="255">
        <f t="shared" si="5"/>
        <v>153377.66700000002</v>
      </c>
      <c r="O57" s="255"/>
      <c r="P57" s="255">
        <f>SUM(P56:P56)</f>
        <v>153377.66700000002</v>
      </c>
    </row>
    <row r="58" spans="1:16">
      <c r="A58" s="252" t="s">
        <v>223</v>
      </c>
      <c r="B58" s="253">
        <f>B54+B57</f>
        <v>6.33</v>
      </c>
      <c r="C58" s="253"/>
      <c r="D58" s="253"/>
      <c r="E58" s="255">
        <f>E54+E57</f>
        <v>89052.263999999996</v>
      </c>
      <c r="F58" s="255"/>
      <c r="G58" s="255"/>
      <c r="H58" s="255">
        <f>H57</f>
        <v>1176</v>
      </c>
      <c r="I58" s="255">
        <f t="shared" ref="I58:N58" si="6">I54+I57</f>
        <v>1142.8599999999999</v>
      </c>
      <c r="J58" s="255">
        <f t="shared" si="6"/>
        <v>2406.25</v>
      </c>
      <c r="K58" s="255">
        <f t="shared" si="6"/>
        <v>22263.065999999999</v>
      </c>
      <c r="L58" s="255">
        <f t="shared" si="6"/>
        <v>116040.44000000002</v>
      </c>
      <c r="M58" s="255">
        <f t="shared" si="6"/>
        <v>92832.352000000014</v>
      </c>
      <c r="N58" s="255">
        <f t="shared" si="6"/>
        <v>208872.79200000002</v>
      </c>
      <c r="O58" s="255"/>
      <c r="P58" s="255">
        <f>P54+P57</f>
        <v>208872.79200000002</v>
      </c>
    </row>
    <row r="59" spans="1:16">
      <c r="A59" s="517" t="s">
        <v>4</v>
      </c>
      <c r="B59" s="517"/>
      <c r="C59" s="517"/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</row>
    <row r="60" spans="1:16">
      <c r="A60" s="373" t="s">
        <v>246</v>
      </c>
      <c r="B60" s="250">
        <v>2</v>
      </c>
      <c r="C60" s="251">
        <v>5253</v>
      </c>
      <c r="D60" s="251"/>
      <c r="E60" s="306">
        <f>B60*C60</f>
        <v>10506</v>
      </c>
      <c r="F60" s="305">
        <f>C60/165.5*61*35%*B60</f>
        <v>1355.3057401812689</v>
      </c>
      <c r="G60" s="305">
        <f>C60*12/1986*288/12*B60</f>
        <v>1523.5287009063443</v>
      </c>
      <c r="H60" s="305"/>
      <c r="I60" s="306"/>
      <c r="J60" s="306"/>
      <c r="K60" s="305">
        <f>(E60+F60+G60)*25%</f>
        <v>3346.2086102719036</v>
      </c>
      <c r="L60" s="305">
        <f>SUM(E60:K60)</f>
        <v>16731.043051359517</v>
      </c>
      <c r="M60" s="305">
        <f>L60*80%</f>
        <v>13384.834441087614</v>
      </c>
      <c r="N60" s="305">
        <f>M60+L60</f>
        <v>30115.877492447129</v>
      </c>
      <c r="O60" s="305"/>
      <c r="P60" s="306">
        <f>N60+O60</f>
        <v>30115.877492447129</v>
      </c>
    </row>
    <row r="61" spans="1:16">
      <c r="A61" s="206" t="s">
        <v>254</v>
      </c>
      <c r="B61" s="205">
        <v>0.5</v>
      </c>
      <c r="C61" s="251">
        <v>6768</v>
      </c>
      <c r="D61" s="251"/>
      <c r="E61" s="257">
        <f>B61*C61</f>
        <v>3384</v>
      </c>
      <c r="F61" s="257"/>
      <c r="G61" s="257"/>
      <c r="H61" s="257"/>
      <c r="I61" s="257"/>
      <c r="J61" s="257"/>
      <c r="K61" s="305">
        <f>(E61+F61+G61)*25%</f>
        <v>846</v>
      </c>
      <c r="L61" s="305">
        <f>SUM(E61:K61)</f>
        <v>4230</v>
      </c>
      <c r="M61" s="305">
        <f>L61*80%</f>
        <v>3384</v>
      </c>
      <c r="N61" s="305">
        <f>M61+L61</f>
        <v>7614</v>
      </c>
      <c r="O61" s="305"/>
      <c r="P61" s="306">
        <f>N61+O61</f>
        <v>7614</v>
      </c>
    </row>
    <row r="62" spans="1:16">
      <c r="A62" s="206" t="s">
        <v>0</v>
      </c>
      <c r="B62" s="205">
        <v>1</v>
      </c>
      <c r="C62" s="251">
        <v>5253</v>
      </c>
      <c r="D62" s="251"/>
      <c r="E62" s="257">
        <f>B62*C62</f>
        <v>5253</v>
      </c>
      <c r="F62" s="257"/>
      <c r="G62" s="257"/>
      <c r="H62" s="257"/>
      <c r="I62" s="257"/>
      <c r="J62" s="257"/>
      <c r="K62" s="305">
        <f>(E62+F62+G62)*25%</f>
        <v>1313.25</v>
      </c>
      <c r="L62" s="305">
        <f>SUM(E62:K62)</f>
        <v>6566.25</v>
      </c>
      <c r="M62" s="305">
        <f>L62*80%</f>
        <v>5253</v>
      </c>
      <c r="N62" s="305">
        <f>M62+L62</f>
        <v>11819.25</v>
      </c>
      <c r="O62" s="305">
        <f>O67*B62*1.8-(N62/70*30+N62)</f>
        <v>3419.3571428571449</v>
      </c>
      <c r="P62" s="306">
        <f>N62+O62</f>
        <v>15238.607142857145</v>
      </c>
    </row>
    <row r="63" spans="1:16" ht="24">
      <c r="A63" s="203" t="s">
        <v>245</v>
      </c>
      <c r="B63" s="250">
        <v>4</v>
      </c>
      <c r="C63" s="251">
        <v>5253</v>
      </c>
      <c r="D63" s="251"/>
      <c r="E63" s="306">
        <f>B63*C63</f>
        <v>21012</v>
      </c>
      <c r="F63" s="305">
        <f>C63/165.5*61*35%*B63</f>
        <v>2710.6114803625378</v>
      </c>
      <c r="G63" s="305">
        <f>C63*12/1986*288/12*B63</f>
        <v>3047.0574018126886</v>
      </c>
      <c r="H63" s="305"/>
      <c r="I63" s="257"/>
      <c r="J63" s="257"/>
      <c r="K63" s="305">
        <f>(E63+F63+G63)*25%</f>
        <v>6692.4172205438072</v>
      </c>
      <c r="L63" s="305">
        <f>SUM(E63:K63)</f>
        <v>33462.086102719033</v>
      </c>
      <c r="M63" s="305">
        <f>L63*80%</f>
        <v>26769.668882175229</v>
      </c>
      <c r="N63" s="305">
        <f>M63+L63</f>
        <v>60231.754984894258</v>
      </c>
      <c r="O63" s="305"/>
      <c r="P63" s="306">
        <f>N63+O63</f>
        <v>60231.754984894258</v>
      </c>
    </row>
    <row r="64" spans="1:16" ht="27.75" customHeight="1">
      <c r="A64" s="425" t="s">
        <v>252</v>
      </c>
      <c r="B64" s="250">
        <v>0.5</v>
      </c>
      <c r="C64" s="251">
        <v>5253</v>
      </c>
      <c r="D64" s="251"/>
      <c r="E64" s="306">
        <f>B64*C64</f>
        <v>2626.5</v>
      </c>
      <c r="F64" s="306"/>
      <c r="G64" s="306"/>
      <c r="H64" s="306"/>
      <c r="I64" s="306"/>
      <c r="J64" s="306"/>
      <c r="K64" s="305">
        <f>(E64+F64+G64)*25%</f>
        <v>656.625</v>
      </c>
      <c r="L64" s="305">
        <f>SUM(E64:K64)</f>
        <v>3283.125</v>
      </c>
      <c r="M64" s="305">
        <f>L64*80%</f>
        <v>2626.5</v>
      </c>
      <c r="N64" s="305">
        <f>M64+L64</f>
        <v>5909.625</v>
      </c>
      <c r="O64" s="305">
        <f>O67*B64*1.8-(N64/70*30+N64)</f>
        <v>1709.6785714285725</v>
      </c>
      <c r="P64" s="306">
        <f>N64+O64</f>
        <v>7619.3035714285725</v>
      </c>
    </row>
    <row r="65" spans="1:16">
      <c r="A65" s="302" t="s">
        <v>15</v>
      </c>
      <c r="B65" s="303">
        <f>SUM(B60:B64)</f>
        <v>8</v>
      </c>
      <c r="C65" s="303"/>
      <c r="D65" s="303"/>
      <c r="E65" s="304">
        <f t="shared" ref="E65:P65" si="7">SUM(E60:E64)</f>
        <v>42781.5</v>
      </c>
      <c r="F65" s="304">
        <f t="shared" si="7"/>
        <v>4065.9172205438067</v>
      </c>
      <c r="G65" s="304">
        <f t="shared" si="7"/>
        <v>4570.5861027190331</v>
      </c>
      <c r="H65" s="304"/>
      <c r="I65" s="304"/>
      <c r="J65" s="304"/>
      <c r="K65" s="304">
        <f t="shared" si="7"/>
        <v>12854.500830815712</v>
      </c>
      <c r="L65" s="304">
        <f t="shared" si="7"/>
        <v>64272.504154078546</v>
      </c>
      <c r="M65" s="304">
        <f t="shared" si="7"/>
        <v>51418.003323262848</v>
      </c>
      <c r="N65" s="304">
        <f t="shared" si="7"/>
        <v>115690.50747734139</v>
      </c>
      <c r="O65" s="304">
        <f t="shared" si="7"/>
        <v>5129.0357142857174</v>
      </c>
      <c r="P65" s="304">
        <f t="shared" si="7"/>
        <v>120819.5431916271</v>
      </c>
    </row>
    <row r="66" spans="1:16">
      <c r="A66" s="256" t="s">
        <v>5</v>
      </c>
      <c r="B66" s="281">
        <f>B58+B65</f>
        <v>14.33</v>
      </c>
      <c r="C66" s="281"/>
      <c r="D66" s="281"/>
      <c r="E66" s="308">
        <f>E58+E65</f>
        <v>131833.764</v>
      </c>
      <c r="F66" s="308">
        <f t="shared" ref="F66:P66" si="8">F58+F65</f>
        <v>4065.9172205438067</v>
      </c>
      <c r="G66" s="308">
        <f t="shared" si="8"/>
        <v>4570.5861027190331</v>
      </c>
      <c r="H66" s="308"/>
      <c r="I66" s="308">
        <f t="shared" si="8"/>
        <v>1142.8599999999999</v>
      </c>
      <c r="J66" s="308">
        <f t="shared" si="8"/>
        <v>2406.25</v>
      </c>
      <c r="K66" s="308">
        <f t="shared" si="8"/>
        <v>35117.566830815711</v>
      </c>
      <c r="L66" s="308">
        <f t="shared" si="8"/>
        <v>180312.94415407855</v>
      </c>
      <c r="M66" s="308">
        <f t="shared" si="8"/>
        <v>144250.35532326286</v>
      </c>
      <c r="N66" s="308">
        <f t="shared" si="8"/>
        <v>324563.29947734141</v>
      </c>
      <c r="O66" s="308">
        <f t="shared" si="8"/>
        <v>5129.0357142857174</v>
      </c>
      <c r="P66" s="308">
        <f t="shared" si="8"/>
        <v>329692.33519162715</v>
      </c>
    </row>
    <row r="67" spans="1:16">
      <c r="A67" s="207" t="s">
        <v>95</v>
      </c>
      <c r="B67" s="180"/>
      <c r="C67" s="180"/>
      <c r="D67" s="180"/>
      <c r="E67" s="180"/>
      <c r="F67" s="310"/>
      <c r="G67" s="518" t="s">
        <v>161</v>
      </c>
      <c r="H67" s="518"/>
      <c r="I67" s="518"/>
      <c r="J67" s="518"/>
      <c r="K67" s="518"/>
      <c r="L67" s="208"/>
      <c r="M67" s="180"/>
      <c r="N67" s="342" t="s">
        <v>183</v>
      </c>
      <c r="O67" s="343">
        <v>11280</v>
      </c>
      <c r="P67" s="180"/>
    </row>
    <row r="68" spans="1:16">
      <c r="A68" s="180" t="s">
        <v>87</v>
      </c>
      <c r="B68" s="209"/>
      <c r="C68" s="209"/>
      <c r="D68" s="209"/>
      <c r="E68" s="309">
        <f>P58</f>
        <v>208872.79200000002</v>
      </c>
      <c r="F68" s="180"/>
      <c r="G68" s="180" t="s">
        <v>87</v>
      </c>
      <c r="H68" s="180"/>
      <c r="I68" s="210"/>
      <c r="J68" s="209"/>
      <c r="K68" s="209"/>
      <c r="L68" s="309">
        <f>P65</f>
        <v>120819.5431916271</v>
      </c>
      <c r="M68" s="210"/>
      <c r="N68" s="180"/>
      <c r="O68" s="180"/>
      <c r="P68" s="180"/>
    </row>
    <row r="69" spans="1:16">
      <c r="A69" s="180" t="s">
        <v>90</v>
      </c>
      <c r="B69" s="209"/>
      <c r="C69" s="209"/>
      <c r="D69" s="209"/>
      <c r="E69" s="309">
        <f>E68/70*30</f>
        <v>89516.910857142866</v>
      </c>
      <c r="F69" s="180"/>
      <c r="G69" s="180" t="s">
        <v>90</v>
      </c>
      <c r="H69" s="180"/>
      <c r="I69" s="210"/>
      <c r="J69" s="209"/>
      <c r="K69" s="209"/>
      <c r="L69" s="309">
        <f>N65/70*30</f>
        <v>49581.646061717736</v>
      </c>
      <c r="M69" s="210"/>
      <c r="N69" s="180"/>
      <c r="O69" s="180"/>
      <c r="P69" s="180"/>
    </row>
    <row r="70" spans="1:16">
      <c r="A70" s="180" t="s">
        <v>32</v>
      </c>
      <c r="B70" s="209"/>
      <c r="C70" s="209"/>
      <c r="D70" s="209"/>
      <c r="E70" s="309">
        <f>SUM(E68:E69)</f>
        <v>298389.7028571429</v>
      </c>
      <c r="F70" s="180"/>
      <c r="G70" s="180" t="s">
        <v>32</v>
      </c>
      <c r="H70" s="180"/>
      <c r="I70" s="210"/>
      <c r="J70" s="209"/>
      <c r="K70" s="209"/>
      <c r="L70" s="309">
        <f>SUM(L68:L69)</f>
        <v>170401.18925334484</v>
      </c>
      <c r="M70" s="210"/>
      <c r="N70" s="180"/>
      <c r="O70" s="180"/>
      <c r="P70" s="180"/>
    </row>
    <row r="71" spans="1:16">
      <c r="A71" s="211"/>
      <c r="B71" s="180"/>
      <c r="C71" s="180"/>
      <c r="D71" s="180"/>
      <c r="E71" s="180"/>
      <c r="F71" s="180"/>
      <c r="G71" s="180"/>
      <c r="H71" s="180"/>
      <c r="I71" s="209"/>
      <c r="J71" s="209"/>
      <c r="K71" s="209"/>
      <c r="L71" s="210"/>
      <c r="M71" s="210"/>
      <c r="N71" s="180"/>
      <c r="O71" s="180"/>
      <c r="P71" s="180"/>
    </row>
    <row r="72" spans="1:16" ht="15">
      <c r="A72" s="317" t="s">
        <v>165</v>
      </c>
      <c r="B72" s="209"/>
      <c r="C72" s="209"/>
      <c r="D72" s="209"/>
      <c r="E72" s="180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</row>
    <row r="73" spans="1:16">
      <c r="A73" s="317" t="s">
        <v>149</v>
      </c>
      <c r="B73" s="209"/>
      <c r="C73" s="209"/>
      <c r="D73" s="209"/>
      <c r="E73" s="180" t="s">
        <v>64</v>
      </c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</row>
  </sheetData>
  <mergeCells count="38">
    <mergeCell ref="A13:P13"/>
    <mergeCell ref="A17:P17"/>
    <mergeCell ref="A22:P22"/>
    <mergeCell ref="A27:P27"/>
    <mergeCell ref="G31:K31"/>
    <mergeCell ref="A8:G8"/>
    <mergeCell ref="B11:B12"/>
    <mergeCell ref="C11:C12"/>
    <mergeCell ref="E11:E12"/>
    <mergeCell ref="F11:O11"/>
    <mergeCell ref="P11:P12"/>
    <mergeCell ref="N1:P2"/>
    <mergeCell ref="N4:O4"/>
    <mergeCell ref="B5:K5"/>
    <mergeCell ref="F6:G6"/>
    <mergeCell ref="N6:O6"/>
    <mergeCell ref="A7:C7"/>
    <mergeCell ref="F7:G7"/>
    <mergeCell ref="P49:P50"/>
    <mergeCell ref="D49:D50"/>
    <mergeCell ref="A48:J48"/>
    <mergeCell ref="N39:P40"/>
    <mergeCell ref="N42:O42"/>
    <mergeCell ref="B43:K43"/>
    <mergeCell ref="F44:G44"/>
    <mergeCell ref="N44:O44"/>
    <mergeCell ref="A45:C45"/>
    <mergeCell ref="F45:G45"/>
    <mergeCell ref="A51:P51"/>
    <mergeCell ref="A55:P55"/>
    <mergeCell ref="A59:P59"/>
    <mergeCell ref="G67:K67"/>
    <mergeCell ref="A47:J47"/>
    <mergeCell ref="A46:G46"/>
    <mergeCell ref="B49:B50"/>
    <mergeCell ref="C49:C50"/>
    <mergeCell ref="E49:E50"/>
    <mergeCell ref="F49:O49"/>
  </mergeCells>
  <phoneticPr fontId="0" type="noConversion"/>
  <pageMargins left="0.19685039370078741" right="0.15748031496062992" top="0.19685039370078741" bottom="0.19685039370078741" header="0.15748031496062992" footer="0.19685039370078741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1">
    <tabColor rgb="FFFF0000"/>
  </sheetPr>
  <dimension ref="A1:Y93"/>
  <sheetViews>
    <sheetView topLeftCell="A51" zoomScaleNormal="100" zoomScaleSheetLayoutView="100" workbookViewId="0">
      <pane xSplit="19950" topLeftCell="CT1"/>
      <selection activeCell="O54" sqref="O1:Q65536"/>
      <selection pane="topRight" activeCell="CU27" sqref="CU27"/>
    </sheetView>
  </sheetViews>
  <sheetFormatPr defaultRowHeight="12.75"/>
  <cols>
    <col min="1" max="1" width="29.7109375" customWidth="1"/>
    <col min="2" max="2" width="5.7109375" customWidth="1"/>
    <col min="3" max="4" width="7.85546875" customWidth="1"/>
    <col min="5" max="5" width="9.7109375" customWidth="1"/>
    <col min="6" max="6" width="8" customWidth="1"/>
    <col min="7" max="7" width="6.85546875" customWidth="1"/>
    <col min="8" max="8" width="7.5703125" customWidth="1"/>
    <col min="9" max="9" width="9.5703125" customWidth="1"/>
    <col min="10" max="10" width="7.28515625" customWidth="1"/>
    <col min="11" max="11" width="9.42578125" customWidth="1"/>
    <col min="12" max="12" width="10.5703125" customWidth="1"/>
    <col min="13" max="13" width="10" customWidth="1"/>
    <col min="14" max="14" width="12.140625" customWidth="1"/>
    <col min="15" max="15" width="12.5703125" hidden="1" customWidth="1"/>
    <col min="16" max="17" width="10.7109375" hidden="1" customWidth="1"/>
    <col min="18" max="19" width="9.28515625" customWidth="1"/>
    <col min="20" max="20" width="12.140625" customWidth="1"/>
    <col min="21" max="21" width="7.28515625" customWidth="1"/>
    <col min="22" max="22" width="6.7109375" customWidth="1"/>
    <col min="23" max="23" width="10" customWidth="1"/>
    <col min="24" max="24" width="9" customWidth="1"/>
    <col min="25" max="25" width="9.28515625" hidden="1" customWidth="1"/>
    <col min="26" max="26" width="14.140625" customWidth="1"/>
    <col min="27" max="27" width="6.140625" customWidth="1"/>
    <col min="28" max="29" width="7" customWidth="1"/>
    <col min="31" max="31" width="7" customWidth="1"/>
    <col min="32" max="32" width="6.42578125" customWidth="1"/>
    <col min="33" max="33" width="4.85546875" customWidth="1"/>
    <col min="34" max="34" width="8.7109375" customWidth="1"/>
    <col min="35" max="35" width="8.5703125" customWidth="1"/>
    <col min="36" max="36" width="9.5703125" customWidth="1"/>
    <col min="37" max="37" width="10.5703125" customWidth="1"/>
    <col min="38" max="38" width="7.85546875" customWidth="1"/>
    <col min="39" max="39" width="8.42578125" customWidth="1"/>
    <col min="40" max="40" width="10.140625" customWidth="1"/>
    <col min="41" max="41" width="12.85546875" customWidth="1"/>
    <col min="42" max="42" width="15.5703125" customWidth="1"/>
    <col min="43" max="43" width="6.140625" customWidth="1"/>
    <col min="44" max="44" width="7" customWidth="1"/>
    <col min="45" max="45" width="8.5703125" customWidth="1"/>
    <col min="46" max="46" width="9.5703125" customWidth="1"/>
    <col min="47" max="48" width="8.7109375" customWidth="1"/>
    <col min="49" max="49" width="7.42578125" customWidth="1"/>
    <col min="50" max="50" width="7.7109375" customWidth="1"/>
    <col min="51" max="51" width="9.85546875" customWidth="1"/>
    <col min="52" max="52" width="8.7109375" customWidth="1"/>
    <col min="53" max="53" width="10.5703125" customWidth="1"/>
    <col min="54" max="54" width="10" customWidth="1"/>
    <col min="55" max="55" width="7.7109375" customWidth="1"/>
    <col min="56" max="56" width="9.5703125" customWidth="1"/>
    <col min="57" max="57" width="10.42578125" customWidth="1"/>
    <col min="58" max="58" width="1.85546875" customWidth="1"/>
    <col min="59" max="59" width="3.42578125" customWidth="1"/>
    <col min="60" max="60" width="15.7109375" customWidth="1"/>
    <col min="61" max="61" width="6.140625" customWidth="1"/>
    <col min="62" max="62" width="6.7109375" customWidth="1"/>
    <col min="63" max="63" width="7.42578125" customWidth="1"/>
    <col min="65" max="65" width="7.85546875" customWidth="1"/>
    <col min="66" max="66" width="6.85546875" customWidth="1"/>
    <col min="67" max="67" width="7.140625" customWidth="1"/>
    <col min="68" max="68" width="7.42578125" customWidth="1"/>
    <col min="69" max="69" width="8.5703125" customWidth="1"/>
    <col min="71" max="71" width="9.85546875" customWidth="1"/>
    <col min="72" max="72" width="8" customWidth="1"/>
    <col min="73" max="73" width="7.5703125" customWidth="1"/>
    <col min="74" max="74" width="10.28515625" customWidth="1"/>
    <col min="75" max="75" width="10" customWidth="1"/>
    <col min="76" max="76" width="8.42578125" customWidth="1"/>
    <col min="77" max="77" width="15.5703125" customWidth="1"/>
    <col min="78" max="78" width="6" customWidth="1"/>
    <col min="79" max="79" width="6.85546875" customWidth="1"/>
    <col min="80" max="80" width="7.140625" customWidth="1"/>
    <col min="81" max="81" width="10.140625" customWidth="1"/>
    <col min="82" max="82" width="7.7109375" customWidth="1"/>
    <col min="83" max="83" width="6.5703125" customWidth="1"/>
    <col min="84" max="85" width="7.140625" customWidth="1"/>
    <col min="86" max="86" width="8.42578125" customWidth="1"/>
    <col min="87" max="87" width="9.28515625" bestFit="1" customWidth="1"/>
    <col min="88" max="88" width="10" customWidth="1"/>
    <col min="89" max="89" width="7.28515625" customWidth="1"/>
    <col min="90" max="90" width="7.42578125" customWidth="1"/>
    <col min="91" max="91" width="10.42578125" customWidth="1"/>
    <col min="92" max="92" width="9.85546875" bestFit="1" customWidth="1"/>
  </cols>
  <sheetData>
    <row r="1" spans="1:15" ht="15.75" hidden="1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162</v>
      </c>
      <c r="L1" s="449"/>
      <c r="M1" s="449"/>
      <c r="N1" s="449"/>
    </row>
    <row r="2" spans="1:15" ht="15.75" hidden="1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449"/>
      <c r="L2" s="449"/>
      <c r="M2" s="449"/>
      <c r="N2" s="449"/>
    </row>
    <row r="3" spans="1:15" ht="15.75" hidden="1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</row>
    <row r="4" spans="1:15" ht="15.75" hidden="1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</row>
    <row r="5" spans="1:15" ht="18.75" hidden="1">
      <c r="A5" s="113"/>
      <c r="B5" s="452" t="s">
        <v>124</v>
      </c>
      <c r="C5" s="452"/>
      <c r="D5" s="452"/>
      <c r="E5" s="452"/>
      <c r="F5" s="452"/>
      <c r="G5" s="452"/>
      <c r="H5" s="452"/>
      <c r="I5" s="452"/>
      <c r="J5" s="452"/>
      <c r="K5" s="115"/>
      <c r="L5" s="120" t="s">
        <v>112</v>
      </c>
      <c r="M5" s="121"/>
    </row>
    <row r="6" spans="1:15" ht="15.75" hidden="1">
      <c r="A6" s="113"/>
      <c r="B6" s="113"/>
      <c r="C6" s="113"/>
      <c r="D6" s="113"/>
      <c r="E6" s="122" t="s">
        <v>113</v>
      </c>
      <c r="F6" s="453" t="s">
        <v>114</v>
      </c>
      <c r="G6" s="453"/>
      <c r="H6" s="114"/>
      <c r="I6" s="114"/>
      <c r="J6" s="454" t="s">
        <v>115</v>
      </c>
      <c r="K6" s="454"/>
      <c r="L6" s="454"/>
      <c r="M6" s="454"/>
    </row>
    <row r="7" spans="1:15" ht="15.75" hidden="1">
      <c r="A7" s="558" t="s">
        <v>116</v>
      </c>
      <c r="B7" s="558"/>
      <c r="C7" s="559"/>
      <c r="D7" s="164"/>
      <c r="E7" s="119">
        <v>3</v>
      </c>
      <c r="F7" s="456" t="s">
        <v>218</v>
      </c>
      <c r="G7" s="456"/>
      <c r="H7" s="114"/>
      <c r="I7" s="114"/>
      <c r="J7" s="226" t="s">
        <v>181</v>
      </c>
      <c r="K7" s="226"/>
      <c r="L7" s="226"/>
      <c r="M7" s="226"/>
      <c r="N7" s="102"/>
    </row>
    <row r="8" spans="1:15" ht="15.75" hidden="1">
      <c r="A8" s="462" t="s">
        <v>219</v>
      </c>
      <c r="B8" s="462"/>
      <c r="C8" s="462"/>
      <c r="D8" s="462"/>
      <c r="E8" s="462"/>
      <c r="F8" s="462"/>
      <c r="G8" s="462"/>
      <c r="H8" s="114"/>
      <c r="I8" s="114"/>
      <c r="J8" s="115" t="s">
        <v>118</v>
      </c>
      <c r="K8" s="115"/>
      <c r="L8" s="124">
        <f>B40</f>
        <v>54.489999999999995</v>
      </c>
      <c r="M8" s="115" t="s">
        <v>119</v>
      </c>
    </row>
    <row r="9" spans="1:15" ht="15.75" hidden="1">
      <c r="A9" s="125"/>
      <c r="B9" s="126"/>
      <c r="C9" s="126"/>
      <c r="D9" s="126"/>
      <c r="E9" s="126"/>
      <c r="F9" s="126"/>
      <c r="G9" s="126"/>
      <c r="H9" s="126"/>
      <c r="I9" s="126"/>
      <c r="J9" s="127" t="s">
        <v>123</v>
      </c>
      <c r="K9" s="127"/>
      <c r="L9" s="127"/>
      <c r="M9" s="127"/>
      <c r="N9" s="128"/>
    </row>
    <row r="10" spans="1:15" hidden="1"/>
    <row r="11" spans="1:15" hidden="1">
      <c r="A11" s="555" t="s">
        <v>56</v>
      </c>
      <c r="B11" s="555" t="s">
        <v>10</v>
      </c>
      <c r="C11" s="555" t="s">
        <v>68</v>
      </c>
      <c r="D11" s="38"/>
      <c r="E11" s="555" t="s">
        <v>11</v>
      </c>
      <c r="F11" s="556" t="s">
        <v>96</v>
      </c>
      <c r="G11" s="556"/>
      <c r="H11" s="556"/>
      <c r="I11" s="556"/>
      <c r="J11" s="556"/>
      <c r="K11" s="556"/>
      <c r="L11" s="556"/>
      <c r="M11" s="556"/>
      <c r="N11" s="557" t="s">
        <v>97</v>
      </c>
    </row>
    <row r="12" spans="1:15" ht="22.5" hidden="1">
      <c r="A12" s="555"/>
      <c r="B12" s="555"/>
      <c r="C12" s="555"/>
      <c r="D12" s="38"/>
      <c r="E12" s="555"/>
      <c r="F12" s="17" t="s">
        <v>16</v>
      </c>
      <c r="G12" s="18" t="s">
        <v>30</v>
      </c>
      <c r="H12" s="18" t="s">
        <v>59</v>
      </c>
      <c r="I12" s="11" t="s">
        <v>41</v>
      </c>
      <c r="J12" s="17" t="s">
        <v>57</v>
      </c>
      <c r="K12" s="18" t="s">
        <v>150</v>
      </c>
      <c r="L12" s="12" t="s">
        <v>33</v>
      </c>
      <c r="M12" s="38" t="s">
        <v>84</v>
      </c>
      <c r="N12" s="557"/>
    </row>
    <row r="13" spans="1:15" hidden="1">
      <c r="A13" s="463" t="s">
        <v>18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</row>
    <row r="14" spans="1:15" hidden="1">
      <c r="A14" s="47" t="s">
        <v>19</v>
      </c>
      <c r="B14" s="43">
        <v>1</v>
      </c>
      <c r="C14" s="261">
        <v>10800</v>
      </c>
      <c r="D14" s="261"/>
      <c r="E14" s="261">
        <f>C14*B14</f>
        <v>10800</v>
      </c>
      <c r="F14" s="261"/>
      <c r="G14" s="261"/>
      <c r="H14" s="261"/>
      <c r="I14" s="261"/>
      <c r="J14" s="261"/>
      <c r="K14" s="261">
        <f>E14*80%</f>
        <v>8640</v>
      </c>
      <c r="L14" s="261">
        <f>E14+K14</f>
        <v>19440</v>
      </c>
      <c r="M14" s="261"/>
      <c r="N14" s="261">
        <f>L14</f>
        <v>19440</v>
      </c>
      <c r="O14" s="222"/>
    </row>
    <row r="15" spans="1:15" ht="22.5" hidden="1">
      <c r="A15" s="42" t="s">
        <v>185</v>
      </c>
      <c r="B15" s="43">
        <v>1</v>
      </c>
      <c r="C15" s="264">
        <v>8640</v>
      </c>
      <c r="D15" s="264"/>
      <c r="E15" s="264">
        <f>C15*B15</f>
        <v>8640</v>
      </c>
      <c r="F15" s="264"/>
      <c r="G15" s="264"/>
      <c r="H15" s="264"/>
      <c r="I15" s="264"/>
      <c r="J15" s="264"/>
      <c r="K15" s="264">
        <f>E15*80%</f>
        <v>6912</v>
      </c>
      <c r="L15" s="264">
        <f>E15+K15</f>
        <v>15552</v>
      </c>
      <c r="M15" s="264"/>
      <c r="N15" s="264">
        <f>L15</f>
        <v>15552</v>
      </c>
      <c r="O15" s="222"/>
    </row>
    <row r="16" spans="1:15" ht="22.5" hidden="1">
      <c r="A16" s="42" t="s">
        <v>186</v>
      </c>
      <c r="B16" s="43">
        <v>1</v>
      </c>
      <c r="C16" s="264">
        <v>8640</v>
      </c>
      <c r="D16" s="264"/>
      <c r="E16" s="264">
        <f>C16*B16</f>
        <v>8640</v>
      </c>
      <c r="F16" s="264"/>
      <c r="G16" s="264"/>
      <c r="H16" s="264"/>
      <c r="I16" s="264"/>
      <c r="J16" s="264"/>
      <c r="K16" s="264">
        <f>E16*80%</f>
        <v>6912</v>
      </c>
      <c r="L16" s="264">
        <f>E16+K16</f>
        <v>15552</v>
      </c>
      <c r="M16" s="264"/>
      <c r="N16" s="264">
        <f>L16</f>
        <v>15552</v>
      </c>
      <c r="O16" s="222"/>
    </row>
    <row r="17" spans="1:16" hidden="1">
      <c r="A17" s="42" t="s">
        <v>89</v>
      </c>
      <c r="B17" s="12">
        <v>1</v>
      </c>
      <c r="C17" s="264">
        <v>8640</v>
      </c>
      <c r="D17" s="264"/>
      <c r="E17" s="264">
        <f>C17*B17</f>
        <v>8640</v>
      </c>
      <c r="F17" s="264"/>
      <c r="G17" s="264"/>
      <c r="H17" s="264"/>
      <c r="I17" s="264"/>
      <c r="J17" s="264"/>
      <c r="K17" s="264">
        <f>E17*80%</f>
        <v>6912</v>
      </c>
      <c r="L17" s="264">
        <f>E17+K17</f>
        <v>15552</v>
      </c>
      <c r="M17" s="264"/>
      <c r="N17" s="264">
        <f>L17</f>
        <v>15552</v>
      </c>
      <c r="O17" s="222"/>
    </row>
    <row r="18" spans="1:16" hidden="1">
      <c r="A18" s="47" t="s">
        <v>1</v>
      </c>
      <c r="B18" s="43">
        <v>1</v>
      </c>
      <c r="C18" s="261">
        <v>7559</v>
      </c>
      <c r="D18" s="261"/>
      <c r="E18" s="261">
        <f>C18*B18</f>
        <v>7559</v>
      </c>
      <c r="F18" s="261"/>
      <c r="G18" s="261"/>
      <c r="H18" s="261"/>
      <c r="I18" s="261"/>
      <c r="J18" s="261"/>
      <c r="K18" s="261">
        <f>E18*80%</f>
        <v>6047.2000000000007</v>
      </c>
      <c r="L18" s="261">
        <f>E18+K18</f>
        <v>13606.2</v>
      </c>
      <c r="M18" s="261"/>
      <c r="N18" s="261">
        <f>L18</f>
        <v>13606.2</v>
      </c>
      <c r="O18" s="222"/>
    </row>
    <row r="19" spans="1:16" hidden="1">
      <c r="A19" s="89" t="s">
        <v>15</v>
      </c>
      <c r="B19" s="90">
        <f>SUM(B14:B18)</f>
        <v>5</v>
      </c>
      <c r="C19" s="266"/>
      <c r="D19" s="266"/>
      <c r="E19" s="266">
        <f>E18+E16+E15+E14+E17</f>
        <v>44279</v>
      </c>
      <c r="F19" s="266"/>
      <c r="G19" s="266"/>
      <c r="H19" s="266"/>
      <c r="I19" s="266"/>
      <c r="J19" s="266"/>
      <c r="K19" s="266">
        <f>SUM(K14:K18)</f>
        <v>35423.199999999997</v>
      </c>
      <c r="L19" s="266">
        <f>SUM(L14:L18)</f>
        <v>79702.2</v>
      </c>
      <c r="M19" s="266"/>
      <c r="N19" s="266">
        <f>SUM(N14:N18)</f>
        <v>79702.2</v>
      </c>
      <c r="O19" s="221">
        <f>N19/70*30+N19</f>
        <v>113860.28571428571</v>
      </c>
    </row>
    <row r="20" spans="1:16" hidden="1">
      <c r="A20" s="464" t="s">
        <v>22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9"/>
    </row>
    <row r="21" spans="1:16" hidden="1">
      <c r="A21" s="42" t="s">
        <v>187</v>
      </c>
      <c r="B21" s="46">
        <v>2</v>
      </c>
      <c r="C21" s="262">
        <v>8022</v>
      </c>
      <c r="D21" s="262"/>
      <c r="E21" s="262">
        <v>16044</v>
      </c>
      <c r="F21" s="262"/>
      <c r="G21" s="262"/>
      <c r="H21" s="262">
        <v>1760</v>
      </c>
      <c r="I21" s="262">
        <v>1114.17</v>
      </c>
      <c r="J21" s="262">
        <v>623.92999999999995</v>
      </c>
      <c r="K21" s="261">
        <f>(E21+H21+I21+J21)*80%</f>
        <v>15633.68</v>
      </c>
      <c r="L21" s="261">
        <f>E21+K21+H21+I21+J21</f>
        <v>35175.78</v>
      </c>
      <c r="M21" s="262"/>
      <c r="N21" s="261">
        <f>L21</f>
        <v>35175.78</v>
      </c>
      <c r="O21" s="9"/>
    </row>
    <row r="22" spans="1:16" hidden="1">
      <c r="A22" s="42" t="s">
        <v>187</v>
      </c>
      <c r="B22" s="46">
        <v>17.989999999999998</v>
      </c>
      <c r="C22" s="262">
        <v>8476</v>
      </c>
      <c r="D22" s="262"/>
      <c r="E22" s="262">
        <v>144562.89000000001</v>
      </c>
      <c r="F22" s="262"/>
      <c r="G22" s="262"/>
      <c r="H22" s="262">
        <v>14160</v>
      </c>
      <c r="I22" s="262">
        <v>6357</v>
      </c>
      <c r="J22" s="262">
        <v>94.18</v>
      </c>
      <c r="K22" s="261">
        <f>(E22+H22+I22+J22)*80%</f>
        <v>132139.25600000002</v>
      </c>
      <c r="L22" s="261">
        <f>E22+K22+H22+I22+J22</f>
        <v>297313.32600000006</v>
      </c>
      <c r="M22" s="262"/>
      <c r="N22" s="261">
        <f>L22</f>
        <v>297313.32600000006</v>
      </c>
      <c r="O22" s="9"/>
    </row>
    <row r="23" spans="1:16" hidden="1">
      <c r="A23" s="42" t="s">
        <v>191</v>
      </c>
      <c r="B23" s="44">
        <v>8.5</v>
      </c>
      <c r="C23" s="261">
        <v>8931</v>
      </c>
      <c r="D23" s="261"/>
      <c r="E23" s="262">
        <v>75913.5</v>
      </c>
      <c r="F23" s="261"/>
      <c r="G23" s="261"/>
      <c r="H23" s="261">
        <v>11040</v>
      </c>
      <c r="I23" s="261">
        <v>6226.89</v>
      </c>
      <c r="J23" s="261">
        <v>793.87</v>
      </c>
      <c r="K23" s="261">
        <f>(E23+H23+I23+J23)*80%</f>
        <v>75179.407999999996</v>
      </c>
      <c r="L23" s="261">
        <f>E23+K23+H23+I23+J23</f>
        <v>169153.66800000001</v>
      </c>
      <c r="M23" s="262"/>
      <c r="N23" s="261">
        <f>L23</f>
        <v>169153.66800000001</v>
      </c>
      <c r="O23" s="9"/>
    </row>
    <row r="24" spans="1:16" hidden="1">
      <c r="A24" s="42" t="s">
        <v>193</v>
      </c>
      <c r="B24" s="44">
        <v>5</v>
      </c>
      <c r="C24" s="261">
        <v>9535</v>
      </c>
      <c r="D24" s="261"/>
      <c r="E24" s="262">
        <v>47675</v>
      </c>
      <c r="F24" s="261"/>
      <c r="G24" s="261"/>
      <c r="H24" s="261">
        <v>6960</v>
      </c>
      <c r="I24" s="261">
        <v>4529.13</v>
      </c>
      <c r="J24" s="261"/>
      <c r="K24" s="261">
        <f>(E24+H24+I24+J24)*80%</f>
        <v>47331.304000000004</v>
      </c>
      <c r="L24" s="261">
        <f>E24+K24+H24+I24+J24</f>
        <v>106495.43400000001</v>
      </c>
      <c r="M24" s="262"/>
      <c r="N24" s="261">
        <f>L24</f>
        <v>106495.43400000001</v>
      </c>
      <c r="O24" s="9"/>
    </row>
    <row r="25" spans="1:16" hidden="1">
      <c r="A25" s="89" t="s">
        <v>15</v>
      </c>
      <c r="B25" s="91">
        <f>SUM(B21:B24)</f>
        <v>33.489999999999995</v>
      </c>
      <c r="C25" s="266"/>
      <c r="D25" s="266"/>
      <c r="E25" s="266">
        <f>E23+E22+E21+E24+0.01</f>
        <v>284195.40000000002</v>
      </c>
      <c r="F25" s="266"/>
      <c r="G25" s="266"/>
      <c r="H25" s="266">
        <f>H22+H21+H23+H24</f>
        <v>33920</v>
      </c>
      <c r="I25" s="266">
        <f>I22+I21+I23+I24</f>
        <v>18227.190000000002</v>
      </c>
      <c r="J25" s="266">
        <f>J22+J21+J23</f>
        <v>1511.98</v>
      </c>
      <c r="K25" s="266">
        <f>K22+K21+K23+K24</f>
        <v>270283.64800000004</v>
      </c>
      <c r="L25" s="266">
        <f>L22+L21+L23+L24</f>
        <v>608138.2080000001</v>
      </c>
      <c r="M25" s="266"/>
      <c r="N25" s="266">
        <f>N22+N21+N23+N24</f>
        <v>608138.2080000001</v>
      </c>
      <c r="O25" s="109" t="e">
        <f>N25/70*30+N25+#REF!</f>
        <v>#REF!</v>
      </c>
      <c r="P25" t="e">
        <f>O25*100/E45</f>
        <v>#REF!</v>
      </c>
    </row>
    <row r="26" spans="1:16" hidden="1">
      <c r="A26" s="464" t="s">
        <v>2</v>
      </c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9"/>
    </row>
    <row r="27" spans="1:16" hidden="1">
      <c r="A27" s="47" t="s">
        <v>220</v>
      </c>
      <c r="B27" s="43">
        <v>1</v>
      </c>
      <c r="C27" s="260">
        <v>4219</v>
      </c>
      <c r="D27" s="260"/>
      <c r="E27" s="262">
        <f>C27*B27</f>
        <v>4219</v>
      </c>
      <c r="F27" s="261"/>
      <c r="G27" s="261"/>
      <c r="H27" s="261"/>
      <c r="I27" s="261"/>
      <c r="J27" s="261"/>
      <c r="K27" s="262">
        <f>E27*80%</f>
        <v>3375.2000000000003</v>
      </c>
      <c r="L27" s="262">
        <f>K27+E27</f>
        <v>7594.2000000000007</v>
      </c>
      <c r="M27" s="262">
        <f>B27*M41*1.8-(L27/70*30+L27)</f>
        <v>9244.5428571428583</v>
      </c>
      <c r="N27" s="261">
        <f>L27+M27</f>
        <v>16838.742857142861</v>
      </c>
      <c r="O27" s="9"/>
    </row>
    <row r="28" spans="1:16" hidden="1">
      <c r="A28" s="47" t="s">
        <v>221</v>
      </c>
      <c r="B28" s="43">
        <v>1</v>
      </c>
      <c r="C28" s="260">
        <v>3052</v>
      </c>
      <c r="D28" s="260"/>
      <c r="E28" s="262">
        <f>C28*B28</f>
        <v>3052</v>
      </c>
      <c r="F28" s="261"/>
      <c r="G28" s="261"/>
      <c r="H28" s="261"/>
      <c r="I28" s="261"/>
      <c r="J28" s="261"/>
      <c r="K28" s="262">
        <f>E28*80%</f>
        <v>2441.6</v>
      </c>
      <c r="L28" s="262">
        <f>K28+E28</f>
        <v>5493.6</v>
      </c>
      <c r="M28" s="262">
        <f>B28*M41*1.8-(L28/70*30+L28)</f>
        <v>12245.400000000001</v>
      </c>
      <c r="N28" s="261">
        <f>L28+M28</f>
        <v>17739</v>
      </c>
      <c r="O28" s="9"/>
    </row>
    <row r="29" spans="1:16" hidden="1">
      <c r="A29" s="92" t="s">
        <v>15</v>
      </c>
      <c r="B29" s="90">
        <f>SUM(B27:B28)</f>
        <v>2</v>
      </c>
      <c r="C29" s="266"/>
      <c r="D29" s="266"/>
      <c r="E29" s="266">
        <f>SUM(E27:E28)</f>
        <v>7271</v>
      </c>
      <c r="F29" s="266"/>
      <c r="G29" s="266"/>
      <c r="H29" s="266"/>
      <c r="I29" s="266"/>
      <c r="J29" s="266"/>
      <c r="K29" s="266">
        <f>SUM(K27:K28)</f>
        <v>5816.8</v>
      </c>
      <c r="L29" s="266">
        <f>SUM(L27:L28)</f>
        <v>13087.800000000001</v>
      </c>
      <c r="M29" s="266">
        <f>SUM(M27:M28)</f>
        <v>21489.942857142858</v>
      </c>
      <c r="N29" s="266">
        <f>SUM(N27:N28)</f>
        <v>34577.742857142861</v>
      </c>
      <c r="O29" s="109">
        <f>L29/70*30+L29+M29</f>
        <v>40186.800000000003</v>
      </c>
    </row>
    <row r="30" spans="1:16" hidden="1">
      <c r="A30" s="457" t="s">
        <v>4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9"/>
      <c r="O30" s="259"/>
    </row>
    <row r="31" spans="1:16" hidden="1">
      <c r="A31" s="42" t="s">
        <v>34</v>
      </c>
      <c r="B31" s="45">
        <v>1</v>
      </c>
      <c r="C31" s="270">
        <v>3841</v>
      </c>
      <c r="D31" s="270"/>
      <c r="E31" s="262">
        <f t="shared" ref="E31:E36" si="0">C31*B31</f>
        <v>3841</v>
      </c>
      <c r="F31" s="271"/>
      <c r="G31" s="271"/>
      <c r="H31" s="271"/>
      <c r="I31" s="271"/>
      <c r="J31" s="271"/>
      <c r="K31" s="262">
        <f>E31*80%</f>
        <v>3072.8</v>
      </c>
      <c r="L31" s="262">
        <f>K31+E31</f>
        <v>6913.8</v>
      </c>
      <c r="M31" s="262">
        <f>B31*M41*1.8-(L31/70*30+L31)</f>
        <v>10216.542857142858</v>
      </c>
      <c r="N31" s="261">
        <f t="shared" ref="N31:N36" si="1">L31+M31</f>
        <v>17130.342857142859</v>
      </c>
      <c r="O31" s="259"/>
    </row>
    <row r="32" spans="1:16" hidden="1">
      <c r="A32" s="47" t="s">
        <v>38</v>
      </c>
      <c r="B32" s="43">
        <v>3</v>
      </c>
      <c r="C32" s="260">
        <v>2517</v>
      </c>
      <c r="D32" s="260"/>
      <c r="E32" s="261">
        <f t="shared" si="0"/>
        <v>7551</v>
      </c>
      <c r="F32" s="261">
        <f>C32/165.5*61*35%*B32</f>
        <v>974.10181268882161</v>
      </c>
      <c r="G32" s="261">
        <f>C32*12/1986*288/12*B32</f>
        <v>1095.0090634441087</v>
      </c>
      <c r="H32" s="261"/>
      <c r="I32" s="261"/>
      <c r="J32" s="261"/>
      <c r="K32" s="261">
        <f>(G32+F32+E32)*80%</f>
        <v>7696.0887009063445</v>
      </c>
      <c r="L32" s="261">
        <f>SUM(E32:K32)</f>
        <v>17316.199577039275</v>
      </c>
      <c r="M32" s="262">
        <f>B32*M41*1.8-(L32/70*30+L32)</f>
        <v>35542.77203280104</v>
      </c>
      <c r="N32" s="261">
        <f t="shared" si="1"/>
        <v>52858.971609840315</v>
      </c>
      <c r="O32" s="259"/>
    </row>
    <row r="33" spans="1:15" ht="22.5" hidden="1">
      <c r="A33" s="93" t="s">
        <v>39</v>
      </c>
      <c r="B33" s="12">
        <v>1</v>
      </c>
      <c r="C33" s="263">
        <v>2944</v>
      </c>
      <c r="D33" s="263"/>
      <c r="E33" s="264">
        <f t="shared" si="0"/>
        <v>2944</v>
      </c>
      <c r="F33" s="264"/>
      <c r="G33" s="264"/>
      <c r="H33" s="264"/>
      <c r="I33" s="264"/>
      <c r="J33" s="264"/>
      <c r="K33" s="264">
        <f>(G33+F33+E33)*80%</f>
        <v>2355.2000000000003</v>
      </c>
      <c r="L33" s="264">
        <f>SUM(E33:K33)</f>
        <v>5299.2000000000007</v>
      </c>
      <c r="M33" s="265">
        <f>B33*M41*1.8-(L33/70*30+L33)</f>
        <v>12523.114285714286</v>
      </c>
      <c r="N33" s="264">
        <f t="shared" si="1"/>
        <v>17822.314285714288</v>
      </c>
      <c r="O33" s="259"/>
    </row>
    <row r="34" spans="1:15" hidden="1">
      <c r="A34" s="47" t="s">
        <v>35</v>
      </c>
      <c r="B34" s="43">
        <v>1</v>
      </c>
      <c r="C34" s="260">
        <v>2656</v>
      </c>
      <c r="D34" s="260"/>
      <c r="E34" s="261">
        <f t="shared" si="0"/>
        <v>2656</v>
      </c>
      <c r="F34" s="261"/>
      <c r="G34" s="261"/>
      <c r="H34" s="261"/>
      <c r="I34" s="261"/>
      <c r="J34" s="261"/>
      <c r="K34" s="261">
        <f>E34*80%</f>
        <v>2124.8000000000002</v>
      </c>
      <c r="L34" s="261">
        <f>SUM(E34:K34)</f>
        <v>4780.8</v>
      </c>
      <c r="M34" s="265">
        <f>B34*M41*1.8-(L34/70*30+L34)</f>
        <v>13263.685714285715</v>
      </c>
      <c r="N34" s="264">
        <f t="shared" si="1"/>
        <v>18044.485714285714</v>
      </c>
      <c r="O34" s="259"/>
    </row>
    <row r="35" spans="1:15" hidden="1">
      <c r="A35" s="47" t="s">
        <v>36</v>
      </c>
      <c r="B35" s="43">
        <v>7</v>
      </c>
      <c r="C35" s="260">
        <v>2656</v>
      </c>
      <c r="D35" s="260"/>
      <c r="E35" s="261">
        <f t="shared" si="0"/>
        <v>18592</v>
      </c>
      <c r="F35" s="261"/>
      <c r="G35" s="261"/>
      <c r="H35" s="261"/>
      <c r="I35" s="261"/>
      <c r="J35" s="261"/>
      <c r="K35" s="261">
        <f>E35*80%</f>
        <v>14873.6</v>
      </c>
      <c r="L35" s="261">
        <f>SUM(E35:K35)</f>
        <v>33465.599999999999</v>
      </c>
      <c r="M35" s="265">
        <f>B35*M41*1.8-(L35/70*30+L35)</f>
        <v>92845.800000000017</v>
      </c>
      <c r="N35" s="264">
        <f t="shared" si="1"/>
        <v>126311.40000000002</v>
      </c>
      <c r="O35" s="259"/>
    </row>
    <row r="36" spans="1:15" hidden="1">
      <c r="A36" s="47" t="s">
        <v>37</v>
      </c>
      <c r="B36" s="43">
        <v>1</v>
      </c>
      <c r="C36" s="260">
        <v>5093</v>
      </c>
      <c r="D36" s="260"/>
      <c r="E36" s="261">
        <f t="shared" si="0"/>
        <v>5093</v>
      </c>
      <c r="F36" s="261"/>
      <c r="G36" s="261"/>
      <c r="H36" s="261"/>
      <c r="I36" s="261"/>
      <c r="J36" s="261"/>
      <c r="K36" s="261">
        <f>E36*80%</f>
        <v>4074.4</v>
      </c>
      <c r="L36" s="261">
        <f>SUM(E36:K36)</f>
        <v>9167.4</v>
      </c>
      <c r="M36" s="265">
        <f>B36*M41*1.8-(L36/70*30+L36)</f>
        <v>6997.1142857142877</v>
      </c>
      <c r="N36" s="264">
        <f t="shared" si="1"/>
        <v>16164.514285714287</v>
      </c>
      <c r="O36" s="259"/>
    </row>
    <row r="37" spans="1:15" hidden="1">
      <c r="A37" s="92" t="s">
        <v>15</v>
      </c>
      <c r="B37" s="90">
        <f>SUM(B31:B36)</f>
        <v>14</v>
      </c>
      <c r="C37" s="90"/>
      <c r="D37" s="90"/>
      <c r="E37" s="266">
        <f>SUM(E31:E36)</f>
        <v>40677</v>
      </c>
      <c r="F37" s="266">
        <f t="shared" ref="F37:N37" si="2">SUM(F31:F36)</f>
        <v>974.10181268882161</v>
      </c>
      <c r="G37" s="266">
        <f t="shared" si="2"/>
        <v>1095.0090634441087</v>
      </c>
      <c r="H37" s="266"/>
      <c r="I37" s="266"/>
      <c r="J37" s="266"/>
      <c r="K37" s="266">
        <f t="shared" si="2"/>
        <v>34196.888700906347</v>
      </c>
      <c r="L37" s="266">
        <f t="shared" si="2"/>
        <v>76942.999577039271</v>
      </c>
      <c r="M37" s="266">
        <f t="shared" si="2"/>
        <v>171389.02917565819</v>
      </c>
      <c r="N37" s="266">
        <f t="shared" si="2"/>
        <v>248332.02875269749</v>
      </c>
      <c r="O37" s="109"/>
    </row>
    <row r="38" spans="1:15" hidden="1">
      <c r="A38" s="269" t="s">
        <v>154</v>
      </c>
      <c r="B38" s="267">
        <f>B19+B25+B29</f>
        <v>40.489999999999995</v>
      </c>
      <c r="C38" s="267"/>
      <c r="D38" s="267"/>
      <c r="E38" s="267">
        <f t="shared" ref="E38:N38" si="3">E19+E25+E29</f>
        <v>335745.4</v>
      </c>
      <c r="F38" s="267">
        <f t="shared" si="3"/>
        <v>0</v>
      </c>
      <c r="G38" s="267">
        <f t="shared" si="3"/>
        <v>0</v>
      </c>
      <c r="H38" s="267">
        <f t="shared" si="3"/>
        <v>33920</v>
      </c>
      <c r="I38" s="267">
        <f t="shared" si="3"/>
        <v>18227.190000000002</v>
      </c>
      <c r="J38" s="267">
        <f t="shared" si="3"/>
        <v>1511.98</v>
      </c>
      <c r="K38" s="267">
        <f t="shared" si="3"/>
        <v>311523.64800000004</v>
      </c>
      <c r="L38" s="267">
        <f t="shared" si="3"/>
        <v>700928.2080000001</v>
      </c>
      <c r="M38" s="267">
        <f t="shared" si="3"/>
        <v>21489.942857142858</v>
      </c>
      <c r="N38" s="267">
        <f t="shared" si="3"/>
        <v>722418.15085714287</v>
      </c>
      <c r="O38" s="9" t="e">
        <f>SUM(O19:O29)</f>
        <v>#REF!</v>
      </c>
    </row>
    <row r="39" spans="1:15" hidden="1">
      <c r="A39" s="269" t="s">
        <v>155</v>
      </c>
      <c r="B39" s="267">
        <f>B37</f>
        <v>14</v>
      </c>
      <c r="C39" s="267"/>
      <c r="D39" s="267"/>
      <c r="E39" s="267">
        <f t="shared" ref="E39:N39" si="4">E37</f>
        <v>40677</v>
      </c>
      <c r="F39" s="267">
        <f t="shared" si="4"/>
        <v>974.10181268882161</v>
      </c>
      <c r="G39" s="267">
        <f t="shared" si="4"/>
        <v>1095.0090634441087</v>
      </c>
      <c r="H39" s="267">
        <f t="shared" si="4"/>
        <v>0</v>
      </c>
      <c r="I39" s="267">
        <f t="shared" si="4"/>
        <v>0</v>
      </c>
      <c r="J39" s="267">
        <f t="shared" si="4"/>
        <v>0</v>
      </c>
      <c r="K39" s="267">
        <f t="shared" si="4"/>
        <v>34196.888700906347</v>
      </c>
      <c r="L39" s="267">
        <f t="shared" si="4"/>
        <v>76942.999577039271</v>
      </c>
      <c r="M39" s="267">
        <f t="shared" si="4"/>
        <v>171389.02917565819</v>
      </c>
      <c r="N39" s="267">
        <f t="shared" si="4"/>
        <v>248332.02875269749</v>
      </c>
      <c r="O39" s="9"/>
    </row>
    <row r="40" spans="1:15" hidden="1">
      <c r="A40" s="269" t="s">
        <v>151</v>
      </c>
      <c r="B40" s="267">
        <f>B38+B39</f>
        <v>54.489999999999995</v>
      </c>
      <c r="C40" s="267"/>
      <c r="D40" s="267"/>
      <c r="E40" s="267">
        <f t="shared" ref="E40:N40" si="5">E38+E39</f>
        <v>376422.40000000002</v>
      </c>
      <c r="F40" s="267">
        <f t="shared" si="5"/>
        <v>974.10181268882161</v>
      </c>
      <c r="G40" s="267">
        <f t="shared" si="5"/>
        <v>1095.0090634441087</v>
      </c>
      <c r="H40" s="267">
        <f t="shared" si="5"/>
        <v>33920</v>
      </c>
      <c r="I40" s="267">
        <f t="shared" si="5"/>
        <v>18227.190000000002</v>
      </c>
      <c r="J40" s="267">
        <f t="shared" si="5"/>
        <v>1511.98</v>
      </c>
      <c r="K40" s="267">
        <f t="shared" si="5"/>
        <v>345720.53670090641</v>
      </c>
      <c r="L40" s="267">
        <f t="shared" si="5"/>
        <v>777871.20757703937</v>
      </c>
      <c r="M40" s="267">
        <f t="shared" si="5"/>
        <v>192878.97203280104</v>
      </c>
      <c r="N40" s="267">
        <f t="shared" si="5"/>
        <v>970750.17960984039</v>
      </c>
      <c r="O40" s="9"/>
    </row>
    <row r="41" spans="1:15" hidden="1">
      <c r="A41" s="66" t="s">
        <v>95</v>
      </c>
      <c r="F41" s="67"/>
      <c r="G41" s="554" t="s">
        <v>153</v>
      </c>
      <c r="H41" s="554"/>
      <c r="I41" s="554"/>
      <c r="J41" s="268"/>
      <c r="K41" s="268"/>
      <c r="L41" s="337" t="s">
        <v>183</v>
      </c>
      <c r="M41" s="338">
        <v>11163</v>
      </c>
      <c r="N41" s="88"/>
    </row>
    <row r="42" spans="1:15" hidden="1">
      <c r="A42" s="33" t="s">
        <v>87</v>
      </c>
      <c r="B42" s="33"/>
      <c r="C42" s="33"/>
      <c r="D42" s="33"/>
      <c r="E42" s="272">
        <f>L38+M38</f>
        <v>722418.15085714299</v>
      </c>
      <c r="F42" s="33"/>
      <c r="G42" s="33" t="s">
        <v>87</v>
      </c>
      <c r="H42" s="33"/>
      <c r="I42" s="32"/>
      <c r="J42" s="32"/>
      <c r="K42" s="272">
        <f>N37</f>
        <v>248332.02875269749</v>
      </c>
      <c r="N42" s="15"/>
    </row>
    <row r="43" spans="1:15" hidden="1">
      <c r="A43" s="33" t="s">
        <v>88</v>
      </c>
      <c r="B43" s="33"/>
      <c r="C43" s="33"/>
      <c r="D43" s="33"/>
      <c r="E43" s="272">
        <f>L38/70*30</f>
        <v>300397.8034285715</v>
      </c>
      <c r="F43" s="33"/>
      <c r="G43" s="33" t="s">
        <v>88</v>
      </c>
      <c r="H43" s="33"/>
      <c r="I43" s="32"/>
      <c r="J43" s="32"/>
      <c r="K43" s="272">
        <f>K42/70*30</f>
        <v>106428.01232258463</v>
      </c>
      <c r="N43" s="15"/>
    </row>
    <row r="44" spans="1:15" hidden="1">
      <c r="A44" s="33" t="s">
        <v>184</v>
      </c>
      <c r="B44" s="33"/>
      <c r="C44" s="33"/>
      <c r="D44" s="33"/>
      <c r="E44" s="272" t="e">
        <f>#REF!</f>
        <v>#REF!</v>
      </c>
      <c r="F44" s="33"/>
      <c r="G44" s="33"/>
      <c r="H44" s="33"/>
      <c r="I44" s="32"/>
      <c r="J44" s="32"/>
      <c r="K44" s="272"/>
      <c r="N44" s="15"/>
    </row>
    <row r="45" spans="1:15" hidden="1">
      <c r="A45" s="33" t="s">
        <v>32</v>
      </c>
      <c r="B45" s="33"/>
      <c r="C45" s="33"/>
      <c r="D45" s="33"/>
      <c r="E45" s="272" t="e">
        <f>SUM(E42:E44)</f>
        <v>#REF!</v>
      </c>
      <c r="F45" s="33"/>
      <c r="G45" s="33" t="s">
        <v>32</v>
      </c>
      <c r="H45" s="33"/>
      <c r="I45" s="32"/>
      <c r="J45" s="32"/>
      <c r="K45" s="272">
        <f>SUM(K42:K43)</f>
        <v>354760.04107528215</v>
      </c>
      <c r="N45" s="15"/>
    </row>
    <row r="46" spans="1:15" hidden="1">
      <c r="A46" s="48"/>
      <c r="B46" s="33"/>
      <c r="C46" s="33"/>
      <c r="D46" s="33"/>
      <c r="E46" s="33"/>
      <c r="F46" s="33"/>
      <c r="G46" s="33"/>
      <c r="H46" s="33"/>
      <c r="I46" s="32"/>
      <c r="J46" s="32"/>
      <c r="N46" s="9"/>
    </row>
    <row r="47" spans="1:15" ht="15" hidden="1">
      <c r="A47" s="130" t="s">
        <v>131</v>
      </c>
    </row>
    <row r="48" spans="1:15" ht="15.75">
      <c r="A48" s="113" t="s">
        <v>120</v>
      </c>
      <c r="B48" s="113"/>
      <c r="C48" s="113"/>
      <c r="D48" s="113"/>
      <c r="E48" s="113"/>
      <c r="F48" s="114"/>
      <c r="G48" s="114"/>
      <c r="H48" s="114"/>
      <c r="I48" s="114"/>
      <c r="J48" s="115"/>
      <c r="K48" s="449" t="s">
        <v>162</v>
      </c>
      <c r="L48" s="449"/>
      <c r="M48" s="449"/>
      <c r="N48" s="449"/>
    </row>
    <row r="49" spans="1:17" ht="15.75">
      <c r="A49" s="113" t="s">
        <v>121</v>
      </c>
      <c r="B49" s="113"/>
      <c r="C49" s="113"/>
      <c r="D49" s="113"/>
      <c r="E49" s="113"/>
      <c r="F49" s="114"/>
      <c r="G49" s="114"/>
      <c r="H49" s="114"/>
      <c r="I49" s="114"/>
      <c r="J49" s="116"/>
      <c r="K49" s="449"/>
      <c r="L49" s="449"/>
      <c r="M49" s="449"/>
      <c r="N49" s="449"/>
    </row>
    <row r="50" spans="1:17" ht="15.75">
      <c r="A50" s="113"/>
      <c r="B50" s="113"/>
      <c r="C50" s="113"/>
      <c r="D50" s="113"/>
      <c r="E50" s="113"/>
      <c r="F50" s="114"/>
      <c r="G50" s="114"/>
      <c r="H50" s="114"/>
      <c r="I50" s="114"/>
      <c r="J50" s="116"/>
      <c r="K50" s="116"/>
      <c r="L50" s="116"/>
      <c r="M50" s="117" t="s">
        <v>110</v>
      </c>
    </row>
    <row r="51" spans="1:17" ht="15.75">
      <c r="A51" s="113" t="s">
        <v>122</v>
      </c>
      <c r="B51" s="113"/>
      <c r="C51" s="113"/>
      <c r="D51" s="113"/>
      <c r="E51" s="113"/>
      <c r="F51" s="114"/>
      <c r="G51" s="114"/>
      <c r="H51" s="114"/>
      <c r="I51" s="114"/>
      <c r="J51" s="118"/>
      <c r="K51" s="450" t="s">
        <v>111</v>
      </c>
      <c r="L51" s="451"/>
      <c r="M51" s="119">
        <v>301017</v>
      </c>
    </row>
    <row r="52" spans="1:17" ht="18.75">
      <c r="A52" s="113"/>
      <c r="B52" s="452" t="s">
        <v>249</v>
      </c>
      <c r="C52" s="452"/>
      <c r="D52" s="452"/>
      <c r="E52" s="452"/>
      <c r="F52" s="452"/>
      <c r="G52" s="452"/>
      <c r="H52" s="452"/>
      <c r="I52" s="452"/>
      <c r="J52" s="452"/>
      <c r="K52" s="115"/>
      <c r="L52" s="120" t="s">
        <v>112</v>
      </c>
      <c r="M52" s="121"/>
    </row>
    <row r="53" spans="1:17" ht="15.75">
      <c r="A53" s="113"/>
      <c r="B53" s="113"/>
      <c r="C53" s="113"/>
      <c r="D53" s="113"/>
      <c r="E53" s="122" t="s">
        <v>113</v>
      </c>
      <c r="F53" s="453" t="s">
        <v>114</v>
      </c>
      <c r="G53" s="453"/>
      <c r="H53" s="114"/>
      <c r="I53" s="114"/>
      <c r="J53" s="454" t="s">
        <v>115</v>
      </c>
      <c r="K53" s="454"/>
      <c r="L53" s="454"/>
      <c r="M53" s="454"/>
    </row>
    <row r="54" spans="1:17" ht="15.75">
      <c r="A54" s="455" t="s">
        <v>116</v>
      </c>
      <c r="B54" s="455"/>
      <c r="C54" s="455"/>
      <c r="D54" s="164"/>
      <c r="E54" s="119">
        <v>3</v>
      </c>
      <c r="F54" s="456" t="s">
        <v>277</v>
      </c>
      <c r="G54" s="456"/>
      <c r="H54" s="114"/>
      <c r="I54" s="114"/>
      <c r="J54" s="226" t="s">
        <v>181</v>
      </c>
      <c r="K54" s="226"/>
      <c r="L54" s="226"/>
      <c r="M54" s="226"/>
      <c r="N54" s="102"/>
    </row>
    <row r="55" spans="1:17" ht="15.75">
      <c r="A55" s="462" t="s">
        <v>278</v>
      </c>
      <c r="B55" s="462"/>
      <c r="C55" s="462"/>
      <c r="D55" s="462"/>
      <c r="E55" s="462"/>
      <c r="F55" s="462"/>
      <c r="G55" s="462"/>
      <c r="H55" s="114"/>
      <c r="I55" s="114"/>
      <c r="J55" s="115" t="s">
        <v>118</v>
      </c>
      <c r="K55" s="115"/>
      <c r="L55" s="124">
        <f>B86</f>
        <v>56.06</v>
      </c>
      <c r="M55" s="115" t="s">
        <v>119</v>
      </c>
    </row>
    <row r="56" spans="1:17" ht="15.75">
      <c r="A56" s="562"/>
      <c r="B56" s="562"/>
      <c r="C56" s="562"/>
      <c r="D56" s="562"/>
      <c r="E56" s="562"/>
      <c r="F56" s="562"/>
      <c r="G56" s="562"/>
      <c r="H56" s="126"/>
      <c r="I56" s="126"/>
      <c r="J56" s="127" t="s">
        <v>123</v>
      </c>
      <c r="K56" s="127"/>
      <c r="L56" s="127"/>
      <c r="M56" s="127"/>
      <c r="N56" s="128"/>
    </row>
    <row r="57" spans="1:17">
      <c r="A57" s="563"/>
      <c r="B57" s="563"/>
      <c r="C57" s="563"/>
      <c r="D57" s="563"/>
      <c r="E57" s="563"/>
      <c r="F57" s="563"/>
      <c r="G57" s="563"/>
    </row>
    <row r="58" spans="1:17">
      <c r="A58" s="555" t="s">
        <v>56</v>
      </c>
      <c r="B58" s="555" t="s">
        <v>10</v>
      </c>
      <c r="C58" s="555" t="s">
        <v>68</v>
      </c>
      <c r="D58" s="560" t="s">
        <v>233</v>
      </c>
      <c r="E58" s="555" t="s">
        <v>11</v>
      </c>
      <c r="F58" s="556" t="s">
        <v>96</v>
      </c>
      <c r="G58" s="556"/>
      <c r="H58" s="556"/>
      <c r="I58" s="556"/>
      <c r="J58" s="556"/>
      <c r="K58" s="556"/>
      <c r="L58" s="556"/>
      <c r="M58" s="556"/>
      <c r="N58" s="557" t="s">
        <v>97</v>
      </c>
    </row>
    <row r="59" spans="1:17" ht="22.5">
      <c r="A59" s="555"/>
      <c r="B59" s="555"/>
      <c r="C59" s="555"/>
      <c r="D59" s="561"/>
      <c r="E59" s="555"/>
      <c r="F59" s="17" t="s">
        <v>16</v>
      </c>
      <c r="G59" s="18" t="s">
        <v>30</v>
      </c>
      <c r="H59" s="18" t="s">
        <v>59</v>
      </c>
      <c r="I59" s="11" t="s">
        <v>41</v>
      </c>
      <c r="J59" s="17" t="s">
        <v>57</v>
      </c>
      <c r="K59" s="18" t="s">
        <v>150</v>
      </c>
      <c r="L59" s="12" t="s">
        <v>33</v>
      </c>
      <c r="M59" s="38" t="s">
        <v>84</v>
      </c>
      <c r="N59" s="557"/>
      <c r="O59" t="s">
        <v>229</v>
      </c>
      <c r="P59" t="s">
        <v>240</v>
      </c>
      <c r="Q59" t="s">
        <v>241</v>
      </c>
    </row>
    <row r="60" spans="1:17">
      <c r="A60" s="463" t="s">
        <v>18</v>
      </c>
      <c r="B60" s="463"/>
      <c r="C60" s="463"/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</row>
    <row r="61" spans="1:17">
      <c r="A61" s="47" t="s">
        <v>19</v>
      </c>
      <c r="B61" s="43">
        <v>1</v>
      </c>
      <c r="C61" s="261">
        <v>22580</v>
      </c>
      <c r="D61" s="261"/>
      <c r="E61" s="261">
        <f>C61*B61</f>
        <v>22580</v>
      </c>
      <c r="F61" s="261"/>
      <c r="G61" s="261"/>
      <c r="H61" s="261"/>
      <c r="I61" s="261"/>
      <c r="J61" s="261"/>
      <c r="K61" s="261">
        <f>E61*80%</f>
        <v>18064</v>
      </c>
      <c r="L61" s="261">
        <f>E61+K61</f>
        <v>40644</v>
      </c>
      <c r="M61" s="261"/>
      <c r="N61" s="261">
        <f>L61</f>
        <v>40644</v>
      </c>
      <c r="O61" s="222"/>
    </row>
    <row r="62" spans="1:17" ht="22.5">
      <c r="A62" s="42" t="s">
        <v>185</v>
      </c>
      <c r="B62" s="43">
        <v>1</v>
      </c>
      <c r="C62" s="264">
        <v>20322</v>
      </c>
      <c r="D62" s="264"/>
      <c r="E62" s="264">
        <f>C62*B62</f>
        <v>20322</v>
      </c>
      <c r="F62" s="264"/>
      <c r="G62" s="264"/>
      <c r="H62" s="264"/>
      <c r="I62" s="264"/>
      <c r="J62" s="264"/>
      <c r="K62" s="264">
        <f>E62*80%</f>
        <v>16257.6</v>
      </c>
      <c r="L62" s="264">
        <f>E62+K62</f>
        <v>36579.599999999999</v>
      </c>
      <c r="M62" s="264"/>
      <c r="N62" s="264">
        <f>L62</f>
        <v>36579.599999999999</v>
      </c>
      <c r="O62" s="222"/>
    </row>
    <row r="63" spans="1:17" ht="22.5">
      <c r="A63" s="42" t="s">
        <v>186</v>
      </c>
      <c r="B63" s="43">
        <v>1</v>
      </c>
      <c r="C63" s="264">
        <v>18064</v>
      </c>
      <c r="D63" s="264"/>
      <c r="E63" s="264">
        <f>C63*B63</f>
        <v>18064</v>
      </c>
      <c r="F63" s="264"/>
      <c r="G63" s="264"/>
      <c r="H63" s="264"/>
      <c r="I63" s="264"/>
      <c r="J63" s="264"/>
      <c r="K63" s="264">
        <f>E63*80%</f>
        <v>14451.2</v>
      </c>
      <c r="L63" s="264">
        <f>E63+K63</f>
        <v>32515.200000000001</v>
      </c>
      <c r="M63" s="264"/>
      <c r="N63" s="264">
        <f>L63</f>
        <v>32515.200000000001</v>
      </c>
      <c r="O63" s="222"/>
    </row>
    <row r="64" spans="1:17">
      <c r="A64" s="404" t="s">
        <v>89</v>
      </c>
      <c r="B64" s="12">
        <v>1</v>
      </c>
      <c r="C64" s="264">
        <v>15806</v>
      </c>
      <c r="D64" s="264"/>
      <c r="E64" s="264">
        <f>C64*B64</f>
        <v>15806</v>
      </c>
      <c r="F64" s="264"/>
      <c r="G64" s="264"/>
      <c r="H64" s="264"/>
      <c r="I64" s="264"/>
      <c r="J64" s="264"/>
      <c r="K64" s="264">
        <f>E64*80%</f>
        <v>12644.800000000001</v>
      </c>
      <c r="L64" s="264">
        <f>E64+K64</f>
        <v>28450.800000000003</v>
      </c>
      <c r="M64" s="264"/>
      <c r="N64" s="264">
        <f>L64</f>
        <v>28450.800000000003</v>
      </c>
      <c r="O64" s="222"/>
    </row>
    <row r="65" spans="1:17">
      <c r="A65" s="89" t="s">
        <v>15</v>
      </c>
      <c r="B65" s="90">
        <f>SUM(B61:B64)</f>
        <v>4</v>
      </c>
      <c r="C65" s="266"/>
      <c r="D65" s="266"/>
      <c r="E65" s="266">
        <f>SUM(E61:E64)</f>
        <v>76772</v>
      </c>
      <c r="F65" s="266"/>
      <c r="G65" s="266"/>
      <c r="H65" s="266"/>
      <c r="I65" s="266"/>
      <c r="J65" s="266"/>
      <c r="K65" s="266">
        <f>SUM(K61:K64)</f>
        <v>61417.600000000006</v>
      </c>
      <c r="L65" s="266">
        <f>SUM(L61:L64)</f>
        <v>138189.6</v>
      </c>
      <c r="M65" s="266"/>
      <c r="N65" s="266">
        <f>SUM(N61:N64)</f>
        <v>138189.6</v>
      </c>
      <c r="O65" s="356">
        <f>N65+N65/70*30</f>
        <v>197413.71428571429</v>
      </c>
    </row>
    <row r="66" spans="1:17">
      <c r="A66" s="464" t="s">
        <v>22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222"/>
    </row>
    <row r="67" spans="1:17">
      <c r="A67" s="404" t="s">
        <v>187</v>
      </c>
      <c r="B67" s="45">
        <v>34.56</v>
      </c>
      <c r="C67" s="262">
        <v>12600</v>
      </c>
      <c r="D67" s="445">
        <v>1.1240000000000001</v>
      </c>
      <c r="E67" s="262">
        <f>B67*C67*D67</f>
        <v>489452.54400000005</v>
      </c>
      <c r="F67" s="262"/>
      <c r="G67" s="262"/>
      <c r="H67" s="262">
        <v>33280</v>
      </c>
      <c r="I67" s="262">
        <v>27145.65</v>
      </c>
      <c r="J67" s="262">
        <v>3864</v>
      </c>
      <c r="K67" s="261">
        <f>(E67+H67+I67+J67)*80%</f>
        <v>442993.75520000001</v>
      </c>
      <c r="L67" s="261">
        <f>E67+K67+H67+I67+J67</f>
        <v>996735.94920000003</v>
      </c>
      <c r="M67" s="262"/>
      <c r="N67" s="261">
        <f>L67</f>
        <v>996735.94920000003</v>
      </c>
      <c r="O67" s="222"/>
    </row>
    <row r="68" spans="1:17">
      <c r="A68" s="404" t="s">
        <v>268</v>
      </c>
      <c r="B68" s="45">
        <v>0.5</v>
      </c>
      <c r="C68" s="262">
        <v>11850</v>
      </c>
      <c r="D68" s="445">
        <v>1</v>
      </c>
      <c r="E68" s="262">
        <f>B68*C68*D68</f>
        <v>5925</v>
      </c>
      <c r="F68" s="262"/>
      <c r="G68" s="262"/>
      <c r="H68" s="262"/>
      <c r="I68" s="262"/>
      <c r="J68" s="262"/>
      <c r="K68" s="261">
        <f>(E68+H68+I68+J68)*80%</f>
        <v>4740</v>
      </c>
      <c r="L68" s="261">
        <f>E68+K68+H68+I68+J68</f>
        <v>10665</v>
      </c>
      <c r="M68" s="262"/>
      <c r="N68" s="261">
        <f>L68</f>
        <v>10665</v>
      </c>
      <c r="O68" s="222"/>
    </row>
    <row r="69" spans="1:17">
      <c r="A69" s="42" t="s">
        <v>228</v>
      </c>
      <c r="B69" s="261">
        <v>1</v>
      </c>
      <c r="C69" s="261">
        <v>12600</v>
      </c>
      <c r="D69" s="446">
        <v>1.1000000000000001</v>
      </c>
      <c r="E69" s="262">
        <f>B69*C69*D69</f>
        <v>13860.000000000002</v>
      </c>
      <c r="F69" s="261"/>
      <c r="G69" s="261"/>
      <c r="H69" s="261"/>
      <c r="I69" s="261"/>
      <c r="J69" s="261"/>
      <c r="K69" s="261">
        <f>(E69+H69+I69+J69)*80%</f>
        <v>11088.000000000002</v>
      </c>
      <c r="L69" s="261">
        <f>E69+K69+H69+I69+J69</f>
        <v>24948.000000000004</v>
      </c>
      <c r="M69" s="262"/>
      <c r="N69" s="261">
        <f>L69</f>
        <v>24948.000000000004</v>
      </c>
      <c r="O69" s="222"/>
    </row>
    <row r="70" spans="1:17">
      <c r="A70" s="89" t="s">
        <v>15</v>
      </c>
      <c r="B70" s="266">
        <f>SUM(B67:B69)</f>
        <v>36.06</v>
      </c>
      <c r="C70" s="266"/>
      <c r="D70" s="266"/>
      <c r="E70" s="266">
        <f>SUM(E67:E69)</f>
        <v>509237.54400000005</v>
      </c>
      <c r="F70" s="266"/>
      <c r="G70" s="266"/>
      <c r="H70" s="266">
        <f>SUM(H67:H69)</f>
        <v>33280</v>
      </c>
      <c r="I70" s="266">
        <f t="shared" ref="I70:N70" si="6">SUM(I67:I69)</f>
        <v>27145.65</v>
      </c>
      <c r="J70" s="266">
        <f t="shared" si="6"/>
        <v>3864</v>
      </c>
      <c r="K70" s="266">
        <f t="shared" si="6"/>
        <v>458821.75520000001</v>
      </c>
      <c r="L70" s="266">
        <f t="shared" si="6"/>
        <v>1032348.9492</v>
      </c>
      <c r="M70" s="266"/>
      <c r="N70" s="266">
        <f t="shared" si="6"/>
        <v>1032348.9492</v>
      </c>
      <c r="O70" s="402">
        <f>N70/70*30+N70</f>
        <v>1474784.2131428572</v>
      </c>
      <c r="P70">
        <v>38056.800000000003</v>
      </c>
      <c r="Q70">
        <f>P70*28</f>
        <v>1065590.4000000001</v>
      </c>
    </row>
    <row r="71" spans="1:17">
      <c r="A71" s="464" t="s">
        <v>2</v>
      </c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222"/>
    </row>
    <row r="72" spans="1:17">
      <c r="A72" s="47" t="s">
        <v>220</v>
      </c>
      <c r="B72" s="43">
        <v>1</v>
      </c>
      <c r="C72" s="260">
        <v>6146</v>
      </c>
      <c r="D72" s="260"/>
      <c r="E72" s="262">
        <f>C72*B72</f>
        <v>6146</v>
      </c>
      <c r="F72" s="261"/>
      <c r="G72" s="261"/>
      <c r="H72" s="261"/>
      <c r="I72" s="261"/>
      <c r="J72" s="261"/>
      <c r="K72" s="262">
        <f>E72*80%</f>
        <v>4916.8</v>
      </c>
      <c r="L72" s="262">
        <f>K72+E72</f>
        <v>11062.8</v>
      </c>
      <c r="M72" s="262">
        <f>B72*M87*1.8-(L72/70*30+L72)</f>
        <v>4500</v>
      </c>
      <c r="N72" s="261">
        <f>L72+M72</f>
        <v>15562.8</v>
      </c>
      <c r="O72" s="222"/>
    </row>
    <row r="73" spans="1:17">
      <c r="A73" s="47" t="s">
        <v>222</v>
      </c>
      <c r="B73" s="43">
        <v>0.5</v>
      </c>
      <c r="C73" s="260">
        <v>6255</v>
      </c>
      <c r="D73" s="260"/>
      <c r="E73" s="262">
        <f>C73*B73</f>
        <v>3127.5</v>
      </c>
      <c r="F73" s="261"/>
      <c r="G73" s="261"/>
      <c r="H73" s="261"/>
      <c r="I73" s="261"/>
      <c r="J73" s="261"/>
      <c r="K73" s="262">
        <f>E73*80%</f>
        <v>2502</v>
      </c>
      <c r="L73" s="262">
        <f>K73+E73</f>
        <v>5629.5</v>
      </c>
      <c r="M73" s="262">
        <f>B73*M87*1.8-(L73/70*30+L73)</f>
        <v>2109.8571428571431</v>
      </c>
      <c r="N73" s="261">
        <f>L73+M73</f>
        <v>7739.3571428571431</v>
      </c>
      <c r="O73" s="222"/>
    </row>
    <row r="74" spans="1:17">
      <c r="A74" s="47" t="s">
        <v>221</v>
      </c>
      <c r="B74" s="43">
        <v>0.5</v>
      </c>
      <c r="C74" s="260">
        <v>6255</v>
      </c>
      <c r="D74" s="260"/>
      <c r="E74" s="262">
        <f>C74*B74</f>
        <v>3127.5</v>
      </c>
      <c r="F74" s="261"/>
      <c r="G74" s="261"/>
      <c r="H74" s="261"/>
      <c r="I74" s="261"/>
      <c r="J74" s="261"/>
      <c r="K74" s="262">
        <f>E74*80%</f>
        <v>2502</v>
      </c>
      <c r="L74" s="262">
        <f>K74+E74</f>
        <v>5629.5</v>
      </c>
      <c r="M74" s="262">
        <f>B74*M87*1.8-(L74/70*30+L74)</f>
        <v>2109.8571428571431</v>
      </c>
      <c r="N74" s="261">
        <f>L74+M74</f>
        <v>7739.3571428571431</v>
      </c>
      <c r="O74" s="222"/>
    </row>
    <row r="75" spans="1:17">
      <c r="A75" s="92" t="s">
        <v>15</v>
      </c>
      <c r="B75" s="90">
        <f>SUM(B72:B74)</f>
        <v>2</v>
      </c>
      <c r="C75" s="266"/>
      <c r="D75" s="266"/>
      <c r="E75" s="266">
        <f>SUM(E72:E74)</f>
        <v>12401</v>
      </c>
      <c r="F75" s="266"/>
      <c r="G75" s="266"/>
      <c r="H75" s="266"/>
      <c r="I75" s="266"/>
      <c r="J75" s="266"/>
      <c r="K75" s="266">
        <f>SUM(K72:K74)</f>
        <v>9920.7999999999993</v>
      </c>
      <c r="L75" s="266">
        <f>SUM(L72:L74)</f>
        <v>22321.8</v>
      </c>
      <c r="M75" s="266">
        <f>SUM(M72:M74)</f>
        <v>8719.7142857142862</v>
      </c>
      <c r="N75" s="266">
        <f>SUM(N72:N74)</f>
        <v>31041.514285714286</v>
      </c>
      <c r="O75" s="356">
        <f>L75/70*30+L75+M75</f>
        <v>40608</v>
      </c>
    </row>
    <row r="76" spans="1:17">
      <c r="A76" s="457" t="s">
        <v>4</v>
      </c>
      <c r="B76" s="458"/>
      <c r="C76" s="458"/>
      <c r="D76" s="458"/>
      <c r="E76" s="458"/>
      <c r="F76" s="458"/>
      <c r="G76" s="458"/>
      <c r="H76" s="458"/>
      <c r="I76" s="458"/>
      <c r="J76" s="458"/>
      <c r="K76" s="458"/>
      <c r="L76" s="458"/>
      <c r="M76" s="458"/>
      <c r="N76" s="459"/>
      <c r="O76" s="222">
        <f>SUM(O65:O75)</f>
        <v>1712805.9274285715</v>
      </c>
    </row>
    <row r="77" spans="1:17">
      <c r="A77" s="42" t="s">
        <v>34</v>
      </c>
      <c r="B77" s="45">
        <v>1</v>
      </c>
      <c r="C77" s="270">
        <v>6944</v>
      </c>
      <c r="D77" s="270"/>
      <c r="E77" s="262">
        <f t="shared" ref="E77:E82" si="7">C77*B77</f>
        <v>6944</v>
      </c>
      <c r="F77" s="271"/>
      <c r="G77" s="271"/>
      <c r="H77" s="271"/>
      <c r="I77" s="271"/>
      <c r="J77" s="271"/>
      <c r="K77" s="262">
        <f>E77*80%</f>
        <v>5555.2000000000007</v>
      </c>
      <c r="L77" s="262">
        <f>K77+E77</f>
        <v>12499.2</v>
      </c>
      <c r="M77" s="262">
        <f>B77*M87*1.8-(L77/70*30+L77)</f>
        <v>2448</v>
      </c>
      <c r="N77" s="261">
        <f t="shared" ref="N77:N82" si="8">L77+M77</f>
        <v>14947.2</v>
      </c>
      <c r="O77" s="222"/>
    </row>
    <row r="78" spans="1:17">
      <c r="A78" s="47" t="s">
        <v>38</v>
      </c>
      <c r="B78" s="43">
        <v>3</v>
      </c>
      <c r="C78" s="260">
        <v>5253</v>
      </c>
      <c r="D78" s="260"/>
      <c r="E78" s="261">
        <f t="shared" si="7"/>
        <v>15759</v>
      </c>
      <c r="F78" s="261">
        <f>C78/165.5*61*35%*B78</f>
        <v>2032.9586102719034</v>
      </c>
      <c r="G78" s="261">
        <f>C78*12/1986*288/12*B78</f>
        <v>2285.2930513595165</v>
      </c>
      <c r="H78" s="261"/>
      <c r="I78" s="261"/>
      <c r="J78" s="261"/>
      <c r="K78" s="261">
        <f>(G78+F78+E78)*80%</f>
        <v>16061.801329305137</v>
      </c>
      <c r="L78" s="261">
        <f>SUM(E78:K78)</f>
        <v>36139.052990936558</v>
      </c>
      <c r="M78" s="262">
        <f>B78*M87*1.8-(L78/70*30+L78)</f>
        <v>9284.7814415192042</v>
      </c>
      <c r="N78" s="261">
        <f t="shared" si="8"/>
        <v>45423.834432455762</v>
      </c>
      <c r="O78" s="222"/>
    </row>
    <row r="79" spans="1:17" ht="22.5">
      <c r="A79" s="93" t="s">
        <v>242</v>
      </c>
      <c r="B79" s="12">
        <v>1</v>
      </c>
      <c r="C79" s="263">
        <v>5253</v>
      </c>
      <c r="D79" s="263"/>
      <c r="E79" s="264">
        <f t="shared" si="7"/>
        <v>5253</v>
      </c>
      <c r="F79" s="264"/>
      <c r="G79" s="264"/>
      <c r="H79" s="264"/>
      <c r="I79" s="264"/>
      <c r="J79" s="264"/>
      <c r="K79" s="264">
        <f>(G79+F79+E79)*80%</f>
        <v>4202.4000000000005</v>
      </c>
      <c r="L79" s="264">
        <f>SUM(E79:K79)</f>
        <v>9455.4000000000015</v>
      </c>
      <c r="M79" s="265">
        <f>B79*M87*1.8-(L79/70*30+L79)</f>
        <v>6796.2857142857119</v>
      </c>
      <c r="N79" s="264">
        <f t="shared" si="8"/>
        <v>16251.685714285713</v>
      </c>
      <c r="O79" s="222"/>
    </row>
    <row r="80" spans="1:17">
      <c r="A80" s="47" t="s">
        <v>35</v>
      </c>
      <c r="B80" s="43">
        <v>1</v>
      </c>
      <c r="C80" s="260">
        <v>5253</v>
      </c>
      <c r="D80" s="260"/>
      <c r="E80" s="261">
        <f t="shared" si="7"/>
        <v>5253</v>
      </c>
      <c r="F80" s="261"/>
      <c r="G80" s="261"/>
      <c r="H80" s="261"/>
      <c r="I80" s="261"/>
      <c r="J80" s="261"/>
      <c r="K80" s="261">
        <f>E80*80%</f>
        <v>4202.4000000000005</v>
      </c>
      <c r="L80" s="261">
        <f>SUM(E80:K80)</f>
        <v>9455.4000000000015</v>
      </c>
      <c r="M80" s="265">
        <f>B80*M87*1.8-(L80/70*30+L80)</f>
        <v>6796.2857142857119</v>
      </c>
      <c r="N80" s="264">
        <f t="shared" si="8"/>
        <v>16251.685714285713</v>
      </c>
      <c r="O80" s="222"/>
    </row>
    <row r="81" spans="1:15">
      <c r="A81" s="47" t="s">
        <v>36</v>
      </c>
      <c r="B81" s="43">
        <v>7</v>
      </c>
      <c r="C81" s="260">
        <v>5253</v>
      </c>
      <c r="D81" s="260"/>
      <c r="E81" s="261">
        <f t="shared" si="7"/>
        <v>36771</v>
      </c>
      <c r="F81" s="261"/>
      <c r="G81" s="261"/>
      <c r="H81" s="261"/>
      <c r="I81" s="261"/>
      <c r="J81" s="261"/>
      <c r="K81" s="261">
        <f>E81*80%</f>
        <v>29416.800000000003</v>
      </c>
      <c r="L81" s="261">
        <f>SUM(E81:K81)</f>
        <v>66187.8</v>
      </c>
      <c r="M81" s="265">
        <f>B81*M87*1.8-(L81/70*30+L81)</f>
        <v>47574</v>
      </c>
      <c r="N81" s="264">
        <f t="shared" si="8"/>
        <v>113761.8</v>
      </c>
      <c r="O81" s="222"/>
    </row>
    <row r="82" spans="1:15">
      <c r="A82" s="47" t="s">
        <v>243</v>
      </c>
      <c r="B82" s="43">
        <v>1</v>
      </c>
      <c r="C82" s="260">
        <v>6768</v>
      </c>
      <c r="D82" s="260"/>
      <c r="E82" s="261">
        <f t="shared" si="7"/>
        <v>6768</v>
      </c>
      <c r="F82" s="261"/>
      <c r="G82" s="261"/>
      <c r="H82" s="261"/>
      <c r="I82" s="261"/>
      <c r="J82" s="261"/>
      <c r="K82" s="261">
        <f>E82*80%</f>
        <v>5414.4000000000005</v>
      </c>
      <c r="L82" s="261">
        <f>SUM(E82:K82)</f>
        <v>12182.400000000001</v>
      </c>
      <c r="M82" s="265">
        <f>B82*M87*1.8-(L82/70*30+L82)</f>
        <v>2900.5714285714275</v>
      </c>
      <c r="N82" s="264">
        <f t="shared" si="8"/>
        <v>15082.971428571429</v>
      </c>
      <c r="O82" s="222"/>
    </row>
    <row r="83" spans="1:15">
      <c r="A83" s="92" t="s">
        <v>15</v>
      </c>
      <c r="B83" s="90">
        <f>SUM(B77:B82)</f>
        <v>14</v>
      </c>
      <c r="C83" s="90"/>
      <c r="D83" s="90"/>
      <c r="E83" s="266">
        <f>SUM(E77:E82)</f>
        <v>76748</v>
      </c>
      <c r="F83" s="266">
        <f>SUM(F77:F82)</f>
        <v>2032.9586102719034</v>
      </c>
      <c r="G83" s="266">
        <f>SUM(G77:G82)</f>
        <v>2285.2930513595165</v>
      </c>
      <c r="H83" s="266"/>
      <c r="I83" s="266"/>
      <c r="J83" s="266"/>
      <c r="K83" s="266">
        <f>SUM(K77:K82)</f>
        <v>64853.001329305145</v>
      </c>
      <c r="L83" s="266">
        <f>SUM(L77:L82)</f>
        <v>145919.25299093654</v>
      </c>
      <c r="M83" s="266">
        <f>SUM(M77:M82)</f>
        <v>75799.924298662052</v>
      </c>
      <c r="N83" s="266">
        <f>SUM(N77:N82)</f>
        <v>221719.17728959862</v>
      </c>
      <c r="O83" s="356">
        <f>L83/70*30+L83+M83</f>
        <v>284256</v>
      </c>
    </row>
    <row r="84" spans="1:15">
      <c r="A84" s="269" t="s">
        <v>154</v>
      </c>
      <c r="B84" s="267">
        <f>B65+B70+B75</f>
        <v>42.06</v>
      </c>
      <c r="C84" s="267"/>
      <c r="D84" s="267"/>
      <c r="E84" s="267">
        <f>E65+E70+E75</f>
        <v>598410.54399999999</v>
      </c>
      <c r="F84" s="267">
        <f t="shared" ref="F84:N84" si="9">F65+F70+F75</f>
        <v>0</v>
      </c>
      <c r="G84" s="267">
        <f t="shared" si="9"/>
        <v>0</v>
      </c>
      <c r="H84" s="267">
        <f t="shared" si="9"/>
        <v>33280</v>
      </c>
      <c r="I84" s="267">
        <f t="shared" si="9"/>
        <v>27145.65</v>
      </c>
      <c r="J84" s="267">
        <f t="shared" si="9"/>
        <v>3864</v>
      </c>
      <c r="K84" s="267">
        <f t="shared" si="9"/>
        <v>530160.15520000004</v>
      </c>
      <c r="L84" s="267">
        <f t="shared" si="9"/>
        <v>1192860.3492000001</v>
      </c>
      <c r="M84" s="267">
        <f t="shared" si="9"/>
        <v>8719.7142857142862</v>
      </c>
      <c r="N84" s="267">
        <f t="shared" si="9"/>
        <v>1201580.0634857144</v>
      </c>
      <c r="O84" s="222"/>
    </row>
    <row r="85" spans="1:15">
      <c r="A85" s="269" t="s">
        <v>155</v>
      </c>
      <c r="B85" s="267">
        <f>B83</f>
        <v>14</v>
      </c>
      <c r="C85" s="267"/>
      <c r="D85" s="267"/>
      <c r="E85" s="267">
        <f t="shared" ref="E85:N85" si="10">E83</f>
        <v>76748</v>
      </c>
      <c r="F85" s="267">
        <f t="shared" si="10"/>
        <v>2032.9586102719034</v>
      </c>
      <c r="G85" s="267">
        <f t="shared" si="10"/>
        <v>2285.2930513595165</v>
      </c>
      <c r="H85" s="267">
        <f t="shared" si="10"/>
        <v>0</v>
      </c>
      <c r="I85" s="267">
        <f t="shared" si="10"/>
        <v>0</v>
      </c>
      <c r="J85" s="267">
        <f t="shared" si="10"/>
        <v>0</v>
      </c>
      <c r="K85" s="267">
        <f t="shared" si="10"/>
        <v>64853.001329305145</v>
      </c>
      <c r="L85" s="267">
        <f t="shared" si="10"/>
        <v>145919.25299093654</v>
      </c>
      <c r="M85" s="267">
        <f t="shared" si="10"/>
        <v>75799.924298662052</v>
      </c>
      <c r="N85" s="267">
        <f t="shared" si="10"/>
        <v>221719.17728959862</v>
      </c>
      <c r="O85" s="222"/>
    </row>
    <row r="86" spans="1:15">
      <c r="A86" s="269" t="s">
        <v>151</v>
      </c>
      <c r="B86" s="267">
        <f>B84+B85</f>
        <v>56.06</v>
      </c>
      <c r="C86" s="267"/>
      <c r="D86" s="267"/>
      <c r="E86" s="267">
        <f t="shared" ref="E86:N86" si="11">E84+E85</f>
        <v>675158.54399999999</v>
      </c>
      <c r="F86" s="267">
        <f t="shared" si="11"/>
        <v>2032.9586102719034</v>
      </c>
      <c r="G86" s="267">
        <f t="shared" si="11"/>
        <v>2285.2930513595165</v>
      </c>
      <c r="H86" s="267">
        <f t="shared" si="11"/>
        <v>33280</v>
      </c>
      <c r="I86" s="267">
        <f t="shared" si="11"/>
        <v>27145.65</v>
      </c>
      <c r="J86" s="267">
        <f t="shared" si="11"/>
        <v>3864</v>
      </c>
      <c r="K86" s="267">
        <f t="shared" si="11"/>
        <v>595013.15652930515</v>
      </c>
      <c r="L86" s="267">
        <f t="shared" si="11"/>
        <v>1338779.6021909367</v>
      </c>
      <c r="M86" s="267">
        <f t="shared" si="11"/>
        <v>84519.638584376342</v>
      </c>
      <c r="N86" s="267">
        <f t="shared" si="11"/>
        <v>1423299.240775313</v>
      </c>
      <c r="O86" s="222"/>
    </row>
    <row r="87" spans="1:15">
      <c r="A87" s="66" t="s">
        <v>95</v>
      </c>
      <c r="F87" s="67"/>
      <c r="G87" s="554" t="s">
        <v>153</v>
      </c>
      <c r="H87" s="554"/>
      <c r="I87" s="554"/>
      <c r="J87" s="268"/>
      <c r="K87" s="268"/>
      <c r="L87" s="337" t="s">
        <v>183</v>
      </c>
      <c r="M87" s="338">
        <v>11280</v>
      </c>
      <c r="N87" s="88"/>
    </row>
    <row r="88" spans="1:15">
      <c r="A88" s="33" t="s">
        <v>87</v>
      </c>
      <c r="B88" s="33"/>
      <c r="C88" s="33"/>
      <c r="D88" s="33"/>
      <c r="E88" s="272">
        <f>L84+M84</f>
        <v>1201580.0634857144</v>
      </c>
      <c r="F88" s="33"/>
      <c r="G88" s="33" t="s">
        <v>87</v>
      </c>
      <c r="H88" s="33"/>
      <c r="I88" s="32"/>
      <c r="J88" s="32"/>
      <c r="K88" s="272">
        <f>N83</f>
        <v>221719.17728959862</v>
      </c>
      <c r="N88" s="15"/>
    </row>
    <row r="89" spans="1:15">
      <c r="A89" s="33" t="s">
        <v>88</v>
      </c>
      <c r="B89" s="33"/>
      <c r="C89" s="33"/>
      <c r="D89" s="33"/>
      <c r="E89" s="272">
        <f>L84/70*30</f>
        <v>511225.86394285719</v>
      </c>
      <c r="F89" s="33"/>
      <c r="G89" s="33" t="s">
        <v>88</v>
      </c>
      <c r="H89" s="33"/>
      <c r="I89" s="32"/>
      <c r="J89" s="32"/>
      <c r="K89" s="272">
        <f>L83/70*30</f>
        <v>62536.822710401379</v>
      </c>
      <c r="N89" s="15"/>
    </row>
    <row r="90" spans="1:15" hidden="1">
      <c r="A90" s="33" t="s">
        <v>184</v>
      </c>
      <c r="B90" s="33"/>
      <c r="C90" s="33"/>
      <c r="D90" s="33"/>
      <c r="E90" s="272"/>
      <c r="F90" s="33"/>
      <c r="G90" s="33"/>
      <c r="H90" s="33"/>
      <c r="I90" s="32"/>
      <c r="J90" s="32"/>
      <c r="K90" s="272"/>
      <c r="N90" s="15"/>
    </row>
    <row r="91" spans="1:15">
      <c r="A91" s="33" t="s">
        <v>32</v>
      </c>
      <c r="B91" s="33"/>
      <c r="C91" s="33"/>
      <c r="D91" s="33"/>
      <c r="E91" s="272">
        <f>SUM(E88:E90)</f>
        <v>1712805.9274285715</v>
      </c>
      <c r="F91" s="33"/>
      <c r="G91" s="33" t="s">
        <v>32</v>
      </c>
      <c r="H91" s="33"/>
      <c r="I91" s="32"/>
      <c r="J91" s="32"/>
      <c r="K91" s="272">
        <f>SUM(K88:K89)</f>
        <v>284256</v>
      </c>
      <c r="N91" s="15"/>
    </row>
    <row r="92" spans="1:15">
      <c r="A92" s="48"/>
      <c r="B92" s="33"/>
      <c r="C92" s="33"/>
      <c r="D92" s="33"/>
      <c r="E92" s="33"/>
      <c r="F92" s="33"/>
      <c r="G92" s="33"/>
      <c r="H92" s="33"/>
      <c r="I92" s="32"/>
      <c r="J92" s="32"/>
      <c r="N92" s="9"/>
    </row>
    <row r="93" spans="1:15" ht="15">
      <c r="A93" s="130" t="s">
        <v>131</v>
      </c>
    </row>
  </sheetData>
  <mergeCells count="41">
    <mergeCell ref="N58:N59"/>
    <mergeCell ref="A60:N60"/>
    <mergeCell ref="A66:N66"/>
    <mergeCell ref="A71:N71"/>
    <mergeCell ref="A76:N76"/>
    <mergeCell ref="G87:I87"/>
    <mergeCell ref="A55:G55"/>
    <mergeCell ref="A58:A59"/>
    <mergeCell ref="B58:B59"/>
    <mergeCell ref="C58:C59"/>
    <mergeCell ref="E58:E59"/>
    <mergeCell ref="F58:M58"/>
    <mergeCell ref="D58:D59"/>
    <mergeCell ref="A56:G56"/>
    <mergeCell ref="A57:G57"/>
    <mergeCell ref="K48:N49"/>
    <mergeCell ref="K51:L51"/>
    <mergeCell ref="B52:J52"/>
    <mergeCell ref="F53:G53"/>
    <mergeCell ref="J53:M53"/>
    <mergeCell ref="A54:C54"/>
    <mergeCell ref="F54:G54"/>
    <mergeCell ref="A8:G8"/>
    <mergeCell ref="A11:A12"/>
    <mergeCell ref="K1:N2"/>
    <mergeCell ref="K4:L4"/>
    <mergeCell ref="B5:J5"/>
    <mergeCell ref="F6:G6"/>
    <mergeCell ref="J6:M6"/>
    <mergeCell ref="A7:C7"/>
    <mergeCell ref="F7:G7"/>
    <mergeCell ref="A26:N26"/>
    <mergeCell ref="A30:N30"/>
    <mergeCell ref="G41:I41"/>
    <mergeCell ref="B11:B12"/>
    <mergeCell ref="C11:C12"/>
    <mergeCell ref="E11:E12"/>
    <mergeCell ref="F11:M11"/>
    <mergeCell ref="A13:N13"/>
    <mergeCell ref="A20:N20"/>
    <mergeCell ref="N11:N12"/>
  </mergeCells>
  <phoneticPr fontId="0" type="noConversion"/>
  <pageMargins left="0.19685039370078741" right="0.15748031496062992" top="0.23622047244094491" bottom="0.23622047244094491" header="0.15748031496062992" footer="0.1968503937007874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2">
    <tabColor rgb="FFFF0000"/>
    <pageSetUpPr fitToPage="1"/>
  </sheetPr>
  <dimension ref="A1:R35"/>
  <sheetViews>
    <sheetView tabSelected="1" topLeftCell="A6" zoomScale="90" zoomScaleNormal="90" zoomScaleSheetLayoutView="100" workbookViewId="0">
      <selection activeCell="F12" sqref="F12"/>
    </sheetView>
  </sheetViews>
  <sheetFormatPr defaultRowHeight="12.75"/>
  <cols>
    <col min="1" max="1" width="22.42578125" customWidth="1"/>
    <col min="2" max="2" width="5.42578125" customWidth="1"/>
    <col min="3" max="3" width="7" customWidth="1"/>
    <col min="4" max="4" width="6.28515625" customWidth="1"/>
    <col min="5" max="5" width="10.140625" customWidth="1"/>
    <col min="6" max="6" width="7.5703125" customWidth="1"/>
    <col min="7" max="7" width="7.7109375" customWidth="1"/>
    <col min="8" max="9" width="8.140625" customWidth="1"/>
    <col min="10" max="10" width="10.140625" customWidth="1"/>
    <col min="11" max="11" width="11.140625" customWidth="1"/>
    <col min="12" max="12" width="11.28515625" customWidth="1"/>
    <col min="13" max="13" width="11.5703125" customWidth="1"/>
    <col min="14" max="14" width="9.42578125" customWidth="1"/>
    <col min="15" max="15" width="11.140625" customWidth="1"/>
    <col min="16" max="16" width="11.140625" hidden="1" customWidth="1"/>
    <col min="17" max="17" width="10.140625" hidden="1" customWidth="1"/>
    <col min="18" max="18" width="10.85546875" hidden="1" customWidth="1"/>
    <col min="19" max="19" width="8.5703125" customWidth="1"/>
    <col min="20" max="20" width="6.42578125" customWidth="1"/>
    <col min="21" max="21" width="15.7109375" customWidth="1"/>
    <col min="22" max="22" width="6.85546875" customWidth="1"/>
    <col min="23" max="23" width="6.5703125" customWidth="1"/>
    <col min="24" max="24" width="6.85546875" customWidth="1"/>
    <col min="25" max="25" width="9.85546875" customWidth="1"/>
    <col min="26" max="26" width="6.5703125" customWidth="1"/>
    <col min="27" max="28" width="6.42578125" customWidth="1"/>
    <col min="29" max="29" width="8.42578125" customWidth="1"/>
    <col min="30" max="31" width="9.28515625" customWidth="1"/>
    <col min="32" max="32" width="12.140625" customWidth="1"/>
    <col min="33" max="33" width="7.28515625" customWidth="1"/>
    <col min="34" max="34" width="6.7109375" customWidth="1"/>
    <col min="35" max="35" width="9.7109375" customWidth="1"/>
    <col min="36" max="37" width="9.28515625" bestFit="1" customWidth="1"/>
    <col min="38" max="38" width="14.140625" customWidth="1"/>
    <col min="39" max="39" width="6.140625" customWidth="1"/>
    <col min="40" max="41" width="7" customWidth="1"/>
    <col min="43" max="43" width="7" customWidth="1"/>
    <col min="44" max="44" width="6.42578125" customWidth="1"/>
    <col min="45" max="45" width="6.7109375" customWidth="1"/>
    <col min="46" max="46" width="8.7109375" customWidth="1"/>
    <col min="47" max="47" width="8.5703125" customWidth="1"/>
    <col min="48" max="48" width="9.5703125" customWidth="1"/>
    <col min="49" max="49" width="10.5703125" customWidth="1"/>
    <col min="50" max="50" width="7.85546875" customWidth="1"/>
    <col min="51" max="51" width="8.42578125" customWidth="1"/>
    <col min="52" max="52" width="10.140625" customWidth="1"/>
    <col min="53" max="53" width="10.42578125" customWidth="1"/>
    <col min="54" max="54" width="15.5703125" customWidth="1"/>
    <col min="55" max="55" width="6.140625" customWidth="1"/>
    <col min="56" max="56" width="7" customWidth="1"/>
    <col min="57" max="57" width="8.5703125" customWidth="1"/>
    <col min="58" max="58" width="9.5703125" customWidth="1"/>
    <col min="59" max="60" width="8.7109375" customWidth="1"/>
    <col min="61" max="61" width="7.42578125" customWidth="1"/>
    <col min="62" max="62" width="7.7109375" customWidth="1"/>
    <col min="63" max="63" width="9.85546875" customWidth="1"/>
    <col min="64" max="64" width="8.7109375" customWidth="1"/>
    <col min="65" max="65" width="10.5703125" customWidth="1"/>
    <col min="66" max="66" width="10" customWidth="1"/>
    <col min="67" max="67" width="7.7109375" customWidth="1"/>
    <col min="68" max="68" width="9.5703125" customWidth="1"/>
    <col min="69" max="69" width="10.42578125" customWidth="1"/>
    <col min="70" max="70" width="3.7109375" customWidth="1"/>
    <col min="71" max="71" width="2.140625" customWidth="1"/>
    <col min="72" max="72" width="15.7109375" customWidth="1"/>
    <col min="73" max="73" width="6.140625" customWidth="1"/>
    <col min="74" max="74" width="6.7109375" customWidth="1"/>
    <col min="75" max="75" width="7.42578125" customWidth="1"/>
    <col min="77" max="77" width="7.85546875" customWidth="1"/>
    <col min="78" max="78" width="6.85546875" customWidth="1"/>
    <col min="79" max="79" width="7.140625" customWidth="1"/>
    <col min="80" max="80" width="7.42578125" customWidth="1"/>
    <col min="81" max="81" width="8.5703125" customWidth="1"/>
    <col min="83" max="83" width="9.85546875" customWidth="1"/>
    <col min="84" max="84" width="8" customWidth="1"/>
    <col min="85" max="85" width="7.5703125" customWidth="1"/>
    <col min="86" max="86" width="10.28515625" customWidth="1"/>
    <col min="87" max="87" width="8.42578125" customWidth="1"/>
    <col min="88" max="88" width="5.5703125" customWidth="1"/>
    <col min="89" max="89" width="15.5703125" customWidth="1"/>
    <col min="90" max="90" width="6" customWidth="1"/>
    <col min="91" max="91" width="6.85546875" customWidth="1"/>
    <col min="92" max="92" width="7.140625" customWidth="1"/>
    <col min="93" max="93" width="10.140625" customWidth="1"/>
    <col min="94" max="94" width="7.7109375" customWidth="1"/>
    <col min="95" max="95" width="6.5703125" customWidth="1"/>
    <col min="96" max="97" width="7.140625" customWidth="1"/>
    <col min="98" max="98" width="8.42578125" customWidth="1"/>
    <col min="99" max="99" width="9.28515625" bestFit="1" customWidth="1"/>
    <col min="100" max="100" width="10" customWidth="1"/>
    <col min="101" max="101" width="7.28515625" customWidth="1"/>
    <col min="102" max="102" width="7.42578125" customWidth="1"/>
    <col min="103" max="103" width="10.42578125" customWidth="1"/>
    <col min="104" max="104" width="9.85546875" bestFit="1" customWidth="1"/>
  </cols>
  <sheetData>
    <row r="1" spans="1:15" ht="15.75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109</v>
      </c>
      <c r="L1" s="449"/>
      <c r="M1" s="449"/>
    </row>
    <row r="2" spans="1:15" ht="19.5" customHeight="1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449"/>
      <c r="L2" s="449"/>
      <c r="M2" s="449"/>
    </row>
    <row r="3" spans="1:15" ht="15.75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</row>
    <row r="4" spans="1:15" ht="15.75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</row>
    <row r="5" spans="1:15" ht="18.75">
      <c r="A5" s="113"/>
      <c r="B5" s="452" t="s">
        <v>247</v>
      </c>
      <c r="C5" s="452"/>
      <c r="D5" s="452"/>
      <c r="E5" s="452"/>
      <c r="F5" s="452"/>
      <c r="G5" s="452"/>
      <c r="H5" s="452"/>
      <c r="I5" s="452"/>
      <c r="J5" s="452"/>
      <c r="K5" s="115"/>
      <c r="L5" s="120" t="s">
        <v>112</v>
      </c>
      <c r="M5" s="121"/>
    </row>
    <row r="6" spans="1:15" ht="15.75">
      <c r="A6" s="113"/>
      <c r="B6" s="113"/>
      <c r="C6" s="113"/>
      <c r="D6" s="113"/>
      <c r="E6" s="122" t="s">
        <v>113</v>
      </c>
      <c r="F6" s="453" t="s">
        <v>114</v>
      </c>
      <c r="G6" s="453"/>
      <c r="H6" s="114"/>
      <c r="I6" s="114"/>
      <c r="J6" s="454" t="s">
        <v>115</v>
      </c>
      <c r="K6" s="454"/>
      <c r="L6" s="454"/>
      <c r="M6" s="454"/>
    </row>
    <row r="7" spans="1:15" ht="15.75">
      <c r="A7" s="455" t="s">
        <v>116</v>
      </c>
      <c r="B7" s="455"/>
      <c r="C7" s="455"/>
      <c r="D7" s="164"/>
      <c r="E7" s="119">
        <v>3</v>
      </c>
      <c r="F7" s="456" t="s">
        <v>280</v>
      </c>
      <c r="G7" s="456"/>
      <c r="H7" s="114"/>
      <c r="I7" s="114"/>
      <c r="J7" s="115" t="s">
        <v>287</v>
      </c>
      <c r="K7" s="115"/>
      <c r="L7" s="115"/>
      <c r="M7" s="115"/>
    </row>
    <row r="8" spans="1:15" ht="15.75">
      <c r="A8" s="462" t="s">
        <v>281</v>
      </c>
      <c r="B8" s="462"/>
      <c r="C8" s="462"/>
      <c r="D8" s="462"/>
      <c r="E8" s="462"/>
      <c r="F8" s="462"/>
      <c r="G8" s="462"/>
      <c r="H8" s="114"/>
      <c r="I8" s="114"/>
      <c r="J8" s="115" t="s">
        <v>118</v>
      </c>
      <c r="K8" s="115"/>
      <c r="L8" s="124">
        <f>B29</f>
        <v>26.22</v>
      </c>
      <c r="M8" s="115" t="s">
        <v>119</v>
      </c>
    </row>
    <row r="9" spans="1:15" ht="15.75">
      <c r="A9" s="465"/>
      <c r="B9" s="465"/>
      <c r="C9" s="465"/>
      <c r="D9" s="465"/>
      <c r="E9" s="465"/>
      <c r="F9" s="465"/>
      <c r="G9" s="465"/>
      <c r="H9" s="126"/>
      <c r="I9" s="126"/>
      <c r="J9" s="127" t="s">
        <v>125</v>
      </c>
      <c r="K9" s="127"/>
      <c r="L9" s="127"/>
      <c r="M9" s="127"/>
      <c r="N9" s="128"/>
    </row>
    <row r="10" spans="1:15">
      <c r="A10" s="477"/>
      <c r="B10" s="477"/>
      <c r="C10" s="477"/>
      <c r="D10" s="477"/>
      <c r="E10" s="477"/>
      <c r="F10" s="477"/>
      <c r="G10" s="477"/>
    </row>
    <row r="11" spans="1:15">
      <c r="A11" s="506" t="s">
        <v>86</v>
      </c>
      <c r="B11" s="486" t="s">
        <v>10</v>
      </c>
      <c r="C11" s="487" t="s">
        <v>231</v>
      </c>
      <c r="D11" s="491" t="s">
        <v>230</v>
      </c>
      <c r="E11" s="485" t="s">
        <v>232</v>
      </c>
      <c r="F11" s="567" t="s">
        <v>96</v>
      </c>
      <c r="G11" s="567"/>
      <c r="H11" s="567"/>
      <c r="I11" s="567"/>
      <c r="J11" s="567"/>
      <c r="K11" s="567"/>
      <c r="L11" s="567"/>
      <c r="M11" s="567"/>
      <c r="N11" s="567"/>
      <c r="O11" s="565" t="s">
        <v>97</v>
      </c>
    </row>
    <row r="12" spans="1:15" ht="38.25">
      <c r="A12" s="507"/>
      <c r="B12" s="486"/>
      <c r="C12" s="487"/>
      <c r="D12" s="492"/>
      <c r="E12" s="485"/>
      <c r="F12" s="73" t="s">
        <v>16</v>
      </c>
      <c r="G12" s="73" t="s">
        <v>17</v>
      </c>
      <c r="H12" s="73" t="s">
        <v>59</v>
      </c>
      <c r="I12" s="73" t="s">
        <v>41</v>
      </c>
      <c r="J12" s="73" t="s">
        <v>42</v>
      </c>
      <c r="K12" s="73" t="s">
        <v>45</v>
      </c>
      <c r="L12" s="73" t="s">
        <v>43</v>
      </c>
      <c r="M12" s="73" t="s">
        <v>44</v>
      </c>
      <c r="N12" s="73" t="s">
        <v>84</v>
      </c>
      <c r="O12" s="566"/>
    </row>
    <row r="13" spans="1:15">
      <c r="A13" s="463" t="s">
        <v>18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</row>
    <row r="14" spans="1:15">
      <c r="A14" s="47" t="s">
        <v>19</v>
      </c>
      <c r="B14" s="43">
        <v>1</v>
      </c>
      <c r="C14" s="43">
        <v>17010</v>
      </c>
      <c r="D14" s="43"/>
      <c r="E14" s="261">
        <f>C14*B14</f>
        <v>17010</v>
      </c>
      <c r="F14" s="261"/>
      <c r="G14" s="261"/>
      <c r="H14" s="261"/>
      <c r="I14" s="261"/>
      <c r="J14" s="261">
        <f>E14*25%</f>
        <v>4252.5</v>
      </c>
      <c r="K14" s="261">
        <f>E14+J14</f>
        <v>21262.5</v>
      </c>
      <c r="L14" s="261">
        <f>K14*80%</f>
        <v>17010</v>
      </c>
      <c r="M14" s="261">
        <f>L14+K14</f>
        <v>38272.5</v>
      </c>
      <c r="N14" s="261"/>
      <c r="O14" s="261">
        <f>M14</f>
        <v>38272.5</v>
      </c>
    </row>
    <row r="15" spans="1:15" ht="33.75">
      <c r="A15" s="349" t="s">
        <v>188</v>
      </c>
      <c r="B15" s="12">
        <v>1</v>
      </c>
      <c r="C15" s="12">
        <v>15309</v>
      </c>
      <c r="D15" s="12"/>
      <c r="E15" s="264">
        <f>C15*B15</f>
        <v>15309</v>
      </c>
      <c r="F15" s="264"/>
      <c r="G15" s="264"/>
      <c r="H15" s="264"/>
      <c r="I15" s="264"/>
      <c r="J15" s="264">
        <f>E15*25%</f>
        <v>3827.25</v>
      </c>
      <c r="K15" s="264">
        <f>E15+J15</f>
        <v>19136.25</v>
      </c>
      <c r="L15" s="264">
        <f>K15*80%</f>
        <v>15309</v>
      </c>
      <c r="M15" s="264">
        <f>L15+K15</f>
        <v>34445.25</v>
      </c>
      <c r="N15" s="261"/>
      <c r="O15" s="264">
        <f>M15</f>
        <v>34445.25</v>
      </c>
    </row>
    <row r="16" spans="1:15" ht="33.75">
      <c r="A16" s="349" t="s">
        <v>226</v>
      </c>
      <c r="B16" s="12">
        <v>1</v>
      </c>
      <c r="C16" s="12">
        <v>15309</v>
      </c>
      <c r="D16" s="12"/>
      <c r="E16" s="264">
        <f>C16*B16</f>
        <v>15309</v>
      </c>
      <c r="F16" s="264"/>
      <c r="G16" s="264"/>
      <c r="H16" s="264"/>
      <c r="I16" s="264"/>
      <c r="J16" s="264">
        <f>E16*25%</f>
        <v>3827.25</v>
      </c>
      <c r="K16" s="264">
        <f>E16+J16</f>
        <v>19136.25</v>
      </c>
      <c r="L16" s="264">
        <f>K16*80%</f>
        <v>15309</v>
      </c>
      <c r="M16" s="264">
        <f>L16+K16</f>
        <v>34445.25</v>
      </c>
      <c r="N16" s="261"/>
      <c r="O16" s="264">
        <f>M16</f>
        <v>34445.25</v>
      </c>
    </row>
    <row r="17" spans="1:15">
      <c r="A17" s="89" t="s">
        <v>15</v>
      </c>
      <c r="B17" s="90">
        <f>SUM(B14:B16:B15)</f>
        <v>3</v>
      </c>
      <c r="C17" s="266"/>
      <c r="D17" s="266"/>
      <c r="E17" s="266">
        <f>SUM(E14:E16:E15)</f>
        <v>47628</v>
      </c>
      <c r="F17" s="266"/>
      <c r="G17" s="266"/>
      <c r="H17" s="266"/>
      <c r="I17" s="266"/>
      <c r="J17" s="266">
        <f>SUM(J14:J16:J15)</f>
        <v>11907</v>
      </c>
      <c r="K17" s="266">
        <f>SUM(K14:K16:K15)</f>
        <v>59535</v>
      </c>
      <c r="L17" s="266">
        <f>SUM(L14:L16:L15)</f>
        <v>47628</v>
      </c>
      <c r="M17" s="266">
        <f>SUM(M14:M16:M15)</f>
        <v>107163</v>
      </c>
      <c r="N17" s="266"/>
      <c r="O17" s="266">
        <f>SUM(O14:O16:O15)</f>
        <v>107163</v>
      </c>
    </row>
    <row r="18" spans="1:15">
      <c r="A18" s="464" t="s">
        <v>22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</row>
    <row r="19" spans="1:15">
      <c r="A19" s="42" t="s">
        <v>187</v>
      </c>
      <c r="B19" s="45">
        <v>13.72</v>
      </c>
      <c r="C19" s="45">
        <v>12600</v>
      </c>
      <c r="D19" s="45">
        <v>1.1299999999999999</v>
      </c>
      <c r="E19" s="262">
        <f>B19*C19*D19</f>
        <v>195345.36</v>
      </c>
      <c r="F19" s="262"/>
      <c r="G19" s="262"/>
      <c r="H19" s="262">
        <v>5285.71</v>
      </c>
      <c r="I19" s="262">
        <v>5435.06</v>
      </c>
      <c r="J19" s="262">
        <f>E19*25%</f>
        <v>48836.34</v>
      </c>
      <c r="K19" s="262">
        <f>E19+H19+I19+J19</f>
        <v>254902.46999999997</v>
      </c>
      <c r="L19" s="262">
        <f>K19*80%</f>
        <v>203921.976</v>
      </c>
      <c r="M19" s="262">
        <f>SUM(K19:L19)</f>
        <v>458824.446</v>
      </c>
      <c r="N19" s="261"/>
      <c r="O19" s="262">
        <f>M19</f>
        <v>458824.446</v>
      </c>
    </row>
    <row r="20" spans="1:15">
      <c r="A20" s="89" t="s">
        <v>15</v>
      </c>
      <c r="B20" s="91">
        <f>B19</f>
        <v>13.72</v>
      </c>
      <c r="C20" s="91"/>
      <c r="D20" s="91"/>
      <c r="E20" s="266">
        <f t="shared" ref="E20:O20" si="0">E19</f>
        <v>195345.36</v>
      </c>
      <c r="F20" s="266"/>
      <c r="G20" s="266"/>
      <c r="H20" s="266">
        <f t="shared" si="0"/>
        <v>5285.71</v>
      </c>
      <c r="I20" s="266">
        <f t="shared" si="0"/>
        <v>5435.06</v>
      </c>
      <c r="J20" s="266">
        <f t="shared" si="0"/>
        <v>48836.34</v>
      </c>
      <c r="K20" s="266">
        <f t="shared" si="0"/>
        <v>254902.46999999997</v>
      </c>
      <c r="L20" s="266">
        <f t="shared" si="0"/>
        <v>203921.976</v>
      </c>
      <c r="M20" s="266">
        <f t="shared" si="0"/>
        <v>458824.446</v>
      </c>
      <c r="N20" s="266"/>
      <c r="O20" s="266">
        <f t="shared" si="0"/>
        <v>458824.446</v>
      </c>
    </row>
    <row r="21" spans="1:15">
      <c r="A21" s="94" t="s">
        <v>223</v>
      </c>
      <c r="B21" s="91">
        <f>B17+B20</f>
        <v>16.72</v>
      </c>
      <c r="C21" s="90"/>
      <c r="D21" s="90"/>
      <c r="E21" s="266">
        <f>E17+E20</f>
        <v>242973.36</v>
      </c>
      <c r="F21" s="266"/>
      <c r="G21" s="266"/>
      <c r="H21" s="266">
        <f t="shared" ref="H21:M21" si="1">H17+H20</f>
        <v>5285.71</v>
      </c>
      <c r="I21" s="266">
        <f t="shared" si="1"/>
        <v>5435.06</v>
      </c>
      <c r="J21" s="266">
        <f t="shared" si="1"/>
        <v>60743.34</v>
      </c>
      <c r="K21" s="266">
        <f t="shared" si="1"/>
        <v>314437.46999999997</v>
      </c>
      <c r="L21" s="266">
        <f t="shared" si="1"/>
        <v>251549.976</v>
      </c>
      <c r="M21" s="266">
        <f t="shared" si="1"/>
        <v>565987.446</v>
      </c>
      <c r="N21" s="266"/>
      <c r="O21" s="266">
        <f>O17+O20</f>
        <v>565987.446</v>
      </c>
    </row>
    <row r="22" spans="1:15">
      <c r="A22" s="457" t="s">
        <v>4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9"/>
    </row>
    <row r="23" spans="1:15" ht="22.5">
      <c r="A23" s="42" t="s">
        <v>60</v>
      </c>
      <c r="B23" s="12">
        <v>2.5</v>
      </c>
      <c r="C23" s="12">
        <v>5253</v>
      </c>
      <c r="D23" s="12"/>
      <c r="E23" s="264">
        <f>B23*C23</f>
        <v>13132.5</v>
      </c>
      <c r="F23" s="264"/>
      <c r="G23" s="264"/>
      <c r="H23" s="264"/>
      <c r="I23" s="264"/>
      <c r="J23" s="264">
        <f>(E23+F23+G23)*25%</f>
        <v>3283.125</v>
      </c>
      <c r="K23" s="264">
        <f>J23+G23+F23+E23</f>
        <v>16415.625</v>
      </c>
      <c r="L23" s="264">
        <f>K23*80%</f>
        <v>13132.5</v>
      </c>
      <c r="M23" s="264">
        <f>L23+K23</f>
        <v>29548.125</v>
      </c>
      <c r="N23" s="264">
        <f>N30*B23*1.8-(M23/70*30+M23)</f>
        <v>8548.3928571428551</v>
      </c>
      <c r="O23" s="264">
        <f>M23+N23</f>
        <v>38096.517857142855</v>
      </c>
    </row>
    <row r="24" spans="1:15">
      <c r="A24" s="42" t="s">
        <v>254</v>
      </c>
      <c r="B24" s="12">
        <v>0.5</v>
      </c>
      <c r="C24" s="12">
        <v>6768</v>
      </c>
      <c r="D24" s="12"/>
      <c r="E24" s="264">
        <f>B24*C24</f>
        <v>3384</v>
      </c>
      <c r="F24" s="264"/>
      <c r="G24" s="264"/>
      <c r="H24" s="264"/>
      <c r="I24" s="264"/>
      <c r="J24" s="264">
        <f>(E24+F24+G24)*25%</f>
        <v>846</v>
      </c>
      <c r="K24" s="264">
        <f>J24+G24+F24+E24</f>
        <v>4230</v>
      </c>
      <c r="L24" s="264">
        <f>K24*80%</f>
        <v>3384</v>
      </c>
      <c r="M24" s="264">
        <f>L24+K24</f>
        <v>7614</v>
      </c>
      <c r="N24" s="264"/>
      <c r="O24" s="264">
        <f>M24+N24</f>
        <v>7614</v>
      </c>
    </row>
    <row r="25" spans="1:15">
      <c r="A25" s="57" t="s">
        <v>245</v>
      </c>
      <c r="B25" s="12">
        <v>4</v>
      </c>
      <c r="C25" s="12">
        <v>5253</v>
      </c>
      <c r="D25" s="12"/>
      <c r="E25" s="264">
        <f>B25*C25</f>
        <v>21012</v>
      </c>
      <c r="F25" s="264">
        <f>C25/165.5*61*35%*B25</f>
        <v>2710.6114803625378</v>
      </c>
      <c r="G25" s="264">
        <f>C25*12/1986*288/12*B25</f>
        <v>3047.0574018126886</v>
      </c>
      <c r="H25" s="264"/>
      <c r="I25" s="264"/>
      <c r="J25" s="264">
        <f>(E25+F25+G25)*25%</f>
        <v>6692.4172205438072</v>
      </c>
      <c r="K25" s="264">
        <f>J25+G25+F25+E25</f>
        <v>33462.086102719033</v>
      </c>
      <c r="L25" s="264">
        <f>K25*80%</f>
        <v>26769.668882175229</v>
      </c>
      <c r="M25" s="264">
        <f>L25+K25</f>
        <v>60231.754984894258</v>
      </c>
      <c r="N25" s="264"/>
      <c r="O25" s="264">
        <f>M25+N25</f>
        <v>60231.754984894258</v>
      </c>
    </row>
    <row r="26" spans="1:15">
      <c r="A26" s="42" t="s">
        <v>14</v>
      </c>
      <c r="B26" s="12">
        <v>2</v>
      </c>
      <c r="C26" s="12">
        <v>5253</v>
      </c>
      <c r="D26" s="12"/>
      <c r="E26" s="264">
        <f>B26*C26</f>
        <v>10506</v>
      </c>
      <c r="F26" s="264">
        <f>C26/165.5*61*35%*B26</f>
        <v>1355.3057401812689</v>
      </c>
      <c r="G26" s="264">
        <f>C26*12/1986*288/12*B26</f>
        <v>1523.5287009063443</v>
      </c>
      <c r="H26" s="264"/>
      <c r="I26" s="264"/>
      <c r="J26" s="264">
        <f>(E26+F26+G26)*25%</f>
        <v>3346.2086102719036</v>
      </c>
      <c r="K26" s="264">
        <f>J26+G26+F26+E26</f>
        <v>16731.043051359517</v>
      </c>
      <c r="L26" s="264">
        <f>K26*80%</f>
        <v>13384.834441087614</v>
      </c>
      <c r="M26" s="264">
        <f>L26+K26</f>
        <v>30115.877492447129</v>
      </c>
      <c r="N26" s="264"/>
      <c r="O26" s="264">
        <f>M26+N26</f>
        <v>30115.877492447129</v>
      </c>
    </row>
    <row r="27" spans="1:15" ht="33.75">
      <c r="A27" s="129" t="s">
        <v>252</v>
      </c>
      <c r="B27" s="12">
        <v>0.5</v>
      </c>
      <c r="C27" s="12">
        <v>5253</v>
      </c>
      <c r="D27" s="12"/>
      <c r="E27" s="264">
        <f>B27*C27</f>
        <v>2626.5</v>
      </c>
      <c r="F27" s="264"/>
      <c r="G27" s="264"/>
      <c r="H27" s="264"/>
      <c r="I27" s="264"/>
      <c r="J27" s="264">
        <f>(E27+F27+G27)*25%</f>
        <v>656.625</v>
      </c>
      <c r="K27" s="264">
        <f>J27+G27+F27+E27</f>
        <v>3283.125</v>
      </c>
      <c r="L27" s="264">
        <f>K27*80%</f>
        <v>2626.5</v>
      </c>
      <c r="M27" s="264">
        <f>L27+K27</f>
        <v>5909.625</v>
      </c>
      <c r="N27" s="264">
        <f>N30*B27*1.8-(M27/70*30+M27)</f>
        <v>1709.6785714285725</v>
      </c>
      <c r="O27" s="264">
        <f>M27+N27</f>
        <v>7619.3035714285725</v>
      </c>
    </row>
    <row r="28" spans="1:15">
      <c r="A28" s="94" t="s">
        <v>225</v>
      </c>
      <c r="B28" s="90">
        <f>SUM(B23:B27)</f>
        <v>9.5</v>
      </c>
      <c r="C28" s="90"/>
      <c r="D28" s="90"/>
      <c r="E28" s="266">
        <f>SUM(E23:E27)</f>
        <v>50661</v>
      </c>
      <c r="F28" s="266">
        <f>SUM(F23:F27)</f>
        <v>4065.9172205438067</v>
      </c>
      <c r="G28" s="266">
        <f>SUM(G23:G27)</f>
        <v>4570.5861027190331</v>
      </c>
      <c r="H28" s="266"/>
      <c r="I28" s="266"/>
      <c r="J28" s="266">
        <f t="shared" ref="J28:O28" si="2">SUM(J23:J27)</f>
        <v>14824.375830815712</v>
      </c>
      <c r="K28" s="266">
        <f t="shared" si="2"/>
        <v>74121.879154078546</v>
      </c>
      <c r="L28" s="266">
        <f t="shared" si="2"/>
        <v>59297.503323262848</v>
      </c>
      <c r="M28" s="266">
        <f t="shared" si="2"/>
        <v>133419.38247734139</v>
      </c>
      <c r="N28" s="266">
        <f t="shared" si="2"/>
        <v>10258.071428571428</v>
      </c>
      <c r="O28" s="266">
        <f t="shared" si="2"/>
        <v>143677.45390591281</v>
      </c>
    </row>
    <row r="29" spans="1:15">
      <c r="A29" s="96" t="s">
        <v>5</v>
      </c>
      <c r="B29" s="95">
        <f>B21+B28</f>
        <v>26.22</v>
      </c>
      <c r="C29" s="87"/>
      <c r="D29" s="87"/>
      <c r="E29" s="267">
        <f t="shared" ref="E29:O29" si="3">E21+E28</f>
        <v>293634.36</v>
      </c>
      <c r="F29" s="267">
        <f t="shared" si="3"/>
        <v>4065.9172205438067</v>
      </c>
      <c r="G29" s="267">
        <f t="shared" si="3"/>
        <v>4570.5861027190331</v>
      </c>
      <c r="H29" s="267">
        <f t="shared" si="3"/>
        <v>5285.71</v>
      </c>
      <c r="I29" s="267">
        <f t="shared" si="3"/>
        <v>5435.06</v>
      </c>
      <c r="J29" s="267">
        <f t="shared" si="3"/>
        <v>75567.715830815709</v>
      </c>
      <c r="K29" s="267">
        <f t="shared" si="3"/>
        <v>388559.34915407852</v>
      </c>
      <c r="L29" s="267">
        <f t="shared" si="3"/>
        <v>310847.47932326281</v>
      </c>
      <c r="M29" s="267">
        <f t="shared" si="3"/>
        <v>699406.82847734145</v>
      </c>
      <c r="N29" s="267">
        <f t="shared" si="3"/>
        <v>10258.071428571428</v>
      </c>
      <c r="O29" s="267">
        <f t="shared" si="3"/>
        <v>709664.89990591281</v>
      </c>
    </row>
    <row r="30" spans="1:15">
      <c r="A30" s="80" t="s">
        <v>95</v>
      </c>
      <c r="B30" s="70"/>
      <c r="C30" s="70"/>
      <c r="D30" s="70"/>
      <c r="E30" s="70"/>
      <c r="F30" s="294"/>
      <c r="G30" s="500" t="s">
        <v>161</v>
      </c>
      <c r="H30" s="500"/>
      <c r="I30" s="500"/>
      <c r="J30" s="500"/>
      <c r="K30" s="500"/>
      <c r="L30" s="70"/>
      <c r="M30" s="347" t="s">
        <v>183</v>
      </c>
      <c r="N30" s="348">
        <v>11280</v>
      </c>
      <c r="O30" s="9"/>
    </row>
    <row r="31" spans="1:15">
      <c r="A31" s="295" t="s">
        <v>87</v>
      </c>
      <c r="B31" s="69"/>
      <c r="C31" s="69"/>
      <c r="D31" s="69"/>
      <c r="E31" s="297">
        <f>O21</f>
        <v>565987.446</v>
      </c>
      <c r="F31" s="70"/>
      <c r="G31" s="295" t="s">
        <v>87</v>
      </c>
      <c r="H31" s="69"/>
      <c r="I31" s="70"/>
      <c r="J31" s="82"/>
      <c r="K31" s="297">
        <f>O28</f>
        <v>143677.45390591281</v>
      </c>
      <c r="L31" s="70"/>
      <c r="M31" s="70"/>
    </row>
    <row r="32" spans="1:15">
      <c r="A32" s="295" t="s">
        <v>88</v>
      </c>
      <c r="B32" s="69"/>
      <c r="C32" s="69"/>
      <c r="D32" s="69"/>
      <c r="E32" s="297">
        <f>E31/70*30</f>
        <v>242566.04828571429</v>
      </c>
      <c r="F32" s="70"/>
      <c r="G32" s="295" t="s">
        <v>88</v>
      </c>
      <c r="H32" s="70"/>
      <c r="I32" s="70"/>
      <c r="J32" s="82"/>
      <c r="K32" s="297">
        <f>M28/70*30</f>
        <v>57179.735347432026</v>
      </c>
      <c r="L32" s="70"/>
      <c r="M32" s="70"/>
    </row>
    <row r="33" spans="1:13">
      <c r="A33" s="295" t="s">
        <v>32</v>
      </c>
      <c r="B33" s="69"/>
      <c r="C33" s="69"/>
      <c r="D33" s="69"/>
      <c r="E33" s="297">
        <f>SUM(E31:E32)</f>
        <v>808553.49428571435</v>
      </c>
      <c r="F33" s="70"/>
      <c r="G33" s="295" t="s">
        <v>32</v>
      </c>
      <c r="H33" s="69"/>
      <c r="I33" s="70"/>
      <c r="J33" s="82"/>
      <c r="K33" s="297">
        <f>SUM(K31:K32)</f>
        <v>200857.18925334484</v>
      </c>
      <c r="L33" s="70"/>
      <c r="M33" s="70"/>
    </row>
    <row r="34" spans="1:13">
      <c r="A34" s="296"/>
      <c r="B34" s="70"/>
      <c r="C34" s="70"/>
      <c r="D34" s="70"/>
      <c r="E34" s="70"/>
      <c r="F34" s="70"/>
      <c r="G34" s="70"/>
      <c r="H34" s="70"/>
      <c r="I34" s="70"/>
      <c r="J34" s="82"/>
      <c r="K34" s="69"/>
      <c r="L34" s="70"/>
      <c r="M34" s="70"/>
    </row>
    <row r="35" spans="1:13" ht="28.5" customHeight="1">
      <c r="A35" s="564" t="s">
        <v>224</v>
      </c>
      <c r="B35" s="564"/>
      <c r="C35" s="564"/>
      <c r="D35" s="564"/>
      <c r="E35" s="564"/>
      <c r="F35" s="70" t="s">
        <v>63</v>
      </c>
      <c r="G35" s="70"/>
      <c r="H35" s="70"/>
      <c r="I35" s="70"/>
      <c r="J35" s="70"/>
      <c r="K35" s="70"/>
      <c r="L35" s="70"/>
      <c r="M35" s="70"/>
    </row>
  </sheetData>
  <mergeCells count="22">
    <mergeCell ref="A8:G8"/>
    <mergeCell ref="B11:B12"/>
    <mergeCell ref="C11:C12"/>
    <mergeCell ref="E11:E12"/>
    <mergeCell ref="F11:N11"/>
    <mergeCell ref="A11:A12"/>
    <mergeCell ref="A35:E35"/>
    <mergeCell ref="A13:O13"/>
    <mergeCell ref="A18:O18"/>
    <mergeCell ref="A22:O22"/>
    <mergeCell ref="G30:K30"/>
    <mergeCell ref="A9:G9"/>
    <mergeCell ref="O11:O12"/>
    <mergeCell ref="D11:D12"/>
    <mergeCell ref="A10:G10"/>
    <mergeCell ref="K1:M2"/>
    <mergeCell ref="K4:L4"/>
    <mergeCell ref="B5:J5"/>
    <mergeCell ref="F6:G6"/>
    <mergeCell ref="J6:M6"/>
    <mergeCell ref="A7:C7"/>
    <mergeCell ref="F7:G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4">
    <tabColor rgb="FFFF0000"/>
  </sheetPr>
  <dimension ref="A1:AL38"/>
  <sheetViews>
    <sheetView topLeftCell="A7" zoomScaleNormal="100" zoomScaleSheetLayoutView="100" workbookViewId="0">
      <selection activeCell="H20" sqref="H20"/>
    </sheetView>
  </sheetViews>
  <sheetFormatPr defaultRowHeight="12.75"/>
  <cols>
    <col min="1" max="1" width="26.140625" customWidth="1"/>
    <col min="2" max="2" width="5.5703125" customWidth="1"/>
    <col min="3" max="3" width="7" customWidth="1"/>
    <col min="4" max="4" width="8" customWidth="1"/>
    <col min="5" max="5" width="10.5703125" customWidth="1"/>
    <col min="6" max="6" width="8.140625" customWidth="1"/>
    <col min="7" max="7" width="8.7109375" customWidth="1"/>
    <col min="8" max="8" width="7.85546875" customWidth="1"/>
    <col min="9" max="9" width="10.28515625" customWidth="1"/>
    <col min="10" max="10" width="9" customWidth="1"/>
    <col min="11" max="11" width="11" customWidth="1"/>
    <col min="12" max="12" width="10" customWidth="1"/>
    <col min="13" max="13" width="10.140625" customWidth="1"/>
    <col min="14" max="14" width="12.28515625" customWidth="1"/>
    <col min="15" max="15" width="10" customWidth="1"/>
    <col min="16" max="16" width="11" hidden="1" customWidth="1"/>
    <col min="17" max="17" width="7.7109375" hidden="1" customWidth="1"/>
    <col min="18" max="18" width="10.140625" customWidth="1"/>
    <col min="19" max="19" width="10.85546875" customWidth="1"/>
    <col min="20" max="21" width="7" customWidth="1"/>
    <col min="22" max="22" width="15.7109375" customWidth="1"/>
    <col min="23" max="23" width="6.85546875" customWidth="1"/>
    <col min="24" max="24" width="6.5703125" customWidth="1"/>
    <col min="25" max="25" width="6.85546875" customWidth="1"/>
    <col min="26" max="26" width="9.85546875" customWidth="1"/>
    <col min="27" max="27" width="6.5703125" customWidth="1"/>
    <col min="28" max="29" width="6.42578125" customWidth="1"/>
    <col min="30" max="30" width="8.42578125" customWidth="1"/>
    <col min="31" max="32" width="9.28515625" customWidth="1"/>
    <col min="33" max="33" width="12.140625" customWidth="1"/>
    <col min="34" max="34" width="7.28515625" customWidth="1"/>
    <col min="35" max="35" width="6.7109375" customWidth="1"/>
    <col min="36" max="36" width="10" customWidth="1"/>
    <col min="37" max="37" width="9" customWidth="1"/>
    <col min="38" max="38" width="9.28515625" hidden="1" customWidth="1"/>
    <col min="39" max="39" width="14.140625" customWidth="1"/>
    <col min="40" max="40" width="6.140625" customWidth="1"/>
    <col min="41" max="42" width="7" customWidth="1"/>
    <col min="44" max="44" width="7" customWidth="1"/>
    <col min="45" max="45" width="6.42578125" customWidth="1"/>
    <col min="46" max="46" width="4.85546875" customWidth="1"/>
    <col min="47" max="47" width="8.7109375" customWidth="1"/>
    <col min="48" max="48" width="8.5703125" customWidth="1"/>
    <col min="49" max="49" width="9.5703125" customWidth="1"/>
    <col min="50" max="50" width="10.5703125" customWidth="1"/>
    <col min="51" max="51" width="7.85546875" customWidth="1"/>
    <col min="52" max="52" width="8.42578125" customWidth="1"/>
    <col min="53" max="53" width="10.140625" customWidth="1"/>
    <col min="54" max="54" width="12.85546875" customWidth="1"/>
    <col min="55" max="55" width="15.5703125" customWidth="1"/>
    <col min="56" max="56" width="6.140625" customWidth="1"/>
    <col min="57" max="57" width="7" customWidth="1"/>
    <col min="58" max="58" width="8.5703125" customWidth="1"/>
    <col min="59" max="59" width="9.5703125" customWidth="1"/>
    <col min="60" max="61" width="8.7109375" customWidth="1"/>
    <col min="62" max="62" width="7.42578125" customWidth="1"/>
    <col min="63" max="63" width="7.7109375" customWidth="1"/>
    <col min="64" max="64" width="9.85546875" customWidth="1"/>
    <col min="65" max="65" width="8.7109375" customWidth="1"/>
    <col min="66" max="66" width="10.5703125" customWidth="1"/>
    <col min="67" max="67" width="10" customWidth="1"/>
    <col min="68" max="68" width="7.7109375" customWidth="1"/>
    <col min="69" max="69" width="9.5703125" customWidth="1"/>
    <col min="70" max="70" width="10.42578125" customWidth="1"/>
    <col min="71" max="71" width="1.85546875" customWidth="1"/>
    <col min="72" max="72" width="3.42578125" customWidth="1"/>
    <col min="73" max="73" width="15.7109375" customWidth="1"/>
    <col min="74" max="74" width="6.140625" customWidth="1"/>
    <col min="75" max="75" width="6.7109375" customWidth="1"/>
    <col min="76" max="76" width="7.42578125" customWidth="1"/>
    <col min="78" max="78" width="7.85546875" customWidth="1"/>
    <col min="79" max="79" width="6.85546875" customWidth="1"/>
    <col min="80" max="80" width="7.140625" customWidth="1"/>
    <col min="81" max="81" width="7.42578125" customWidth="1"/>
    <col min="82" max="82" width="8.5703125" customWidth="1"/>
    <col min="84" max="84" width="9.85546875" customWidth="1"/>
    <col min="85" max="85" width="8" customWidth="1"/>
    <col min="86" max="86" width="7.5703125" customWidth="1"/>
    <col min="87" max="87" width="10.28515625" customWidth="1"/>
    <col min="88" max="88" width="10" customWidth="1"/>
    <col min="89" max="89" width="8.42578125" customWidth="1"/>
    <col min="90" max="90" width="15.5703125" customWidth="1"/>
    <col min="91" max="91" width="6" customWidth="1"/>
    <col min="92" max="92" width="6.85546875" customWidth="1"/>
    <col min="93" max="93" width="7.140625" customWidth="1"/>
    <col min="94" max="94" width="10.140625" customWidth="1"/>
    <col min="95" max="95" width="7.7109375" customWidth="1"/>
    <col min="96" max="96" width="6.5703125" customWidth="1"/>
    <col min="97" max="98" width="7.140625" customWidth="1"/>
    <col min="99" max="99" width="8.42578125" customWidth="1"/>
    <col min="100" max="100" width="9.28515625" bestFit="1" customWidth="1"/>
    <col min="101" max="101" width="10" customWidth="1"/>
    <col min="102" max="102" width="7.28515625" customWidth="1"/>
    <col min="103" max="103" width="7.42578125" customWidth="1"/>
    <col min="104" max="104" width="10.42578125" customWidth="1"/>
    <col min="105" max="105" width="9.85546875" bestFit="1" customWidth="1"/>
  </cols>
  <sheetData>
    <row r="1" spans="1:15" ht="25.5" customHeight="1">
      <c r="A1" s="225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142</v>
      </c>
      <c r="L1" s="449"/>
      <c r="M1" s="449"/>
      <c r="N1" s="449"/>
      <c r="O1" s="449"/>
    </row>
    <row r="2" spans="1:15" ht="15.75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165"/>
      <c r="L2" s="165"/>
      <c r="M2" s="165"/>
      <c r="N2" s="70"/>
      <c r="O2" s="70"/>
    </row>
    <row r="3" spans="1:15" ht="15.75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  <c r="N3" s="70"/>
      <c r="O3" s="70"/>
    </row>
    <row r="4" spans="1:15" ht="15.75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  <c r="N4" s="70"/>
      <c r="O4" s="70"/>
    </row>
    <row r="5" spans="1:15" ht="18.75">
      <c r="A5" s="113"/>
      <c r="B5" s="166"/>
      <c r="C5" s="166"/>
      <c r="D5" s="166"/>
      <c r="E5" s="452" t="s">
        <v>265</v>
      </c>
      <c r="F5" s="452"/>
      <c r="G5" s="452"/>
      <c r="H5" s="452"/>
      <c r="I5" s="166"/>
      <c r="J5" s="166"/>
      <c r="K5" s="115"/>
      <c r="L5" s="120" t="s">
        <v>112</v>
      </c>
      <c r="M5" s="121"/>
      <c r="N5" s="70"/>
      <c r="O5" s="70"/>
    </row>
    <row r="6" spans="1:15" ht="15.75">
      <c r="A6" s="113"/>
      <c r="B6" s="113"/>
      <c r="C6" s="113"/>
      <c r="D6" s="113"/>
      <c r="E6" s="122" t="s">
        <v>113</v>
      </c>
      <c r="F6" s="570" t="s">
        <v>114</v>
      </c>
      <c r="G6" s="571"/>
      <c r="H6" s="114"/>
      <c r="I6" s="114"/>
      <c r="J6" s="167" t="s">
        <v>115</v>
      </c>
      <c r="K6" s="167"/>
      <c r="L6" s="167"/>
      <c r="M6" s="167"/>
      <c r="N6" s="70"/>
      <c r="O6" s="70"/>
    </row>
    <row r="7" spans="1:15" ht="15.75">
      <c r="A7" s="575" t="s">
        <v>24</v>
      </c>
      <c r="B7" s="575"/>
      <c r="C7" s="575"/>
      <c r="D7" s="430"/>
      <c r="E7" s="119">
        <v>3</v>
      </c>
      <c r="F7" s="572">
        <v>43707</v>
      </c>
      <c r="G7" s="573"/>
      <c r="H7" s="114"/>
      <c r="I7" s="114"/>
      <c r="J7" s="115" t="s">
        <v>203</v>
      </c>
      <c r="K7" s="115"/>
      <c r="L7" s="115"/>
      <c r="M7" s="115"/>
      <c r="N7" s="70"/>
      <c r="O7" s="70"/>
    </row>
    <row r="8" spans="1:15" ht="15.75">
      <c r="A8" s="462" t="s">
        <v>279</v>
      </c>
      <c r="B8" s="462"/>
      <c r="C8" s="462"/>
      <c r="D8" s="462"/>
      <c r="E8" s="462"/>
      <c r="F8" s="462"/>
      <c r="G8" s="462"/>
      <c r="H8" s="462"/>
      <c r="I8" s="462"/>
      <c r="J8" s="115" t="s">
        <v>118</v>
      </c>
      <c r="K8" s="115"/>
      <c r="L8" s="124">
        <f>B28</f>
        <v>15.36</v>
      </c>
      <c r="M8" s="115" t="s">
        <v>119</v>
      </c>
      <c r="N8" s="70"/>
      <c r="O8" s="70"/>
    </row>
    <row r="9" spans="1:15" ht="15.75">
      <c r="A9" s="465"/>
      <c r="B9" s="465"/>
      <c r="C9" s="465"/>
      <c r="D9" s="465"/>
      <c r="E9" s="465"/>
      <c r="F9" s="465"/>
      <c r="G9" s="465"/>
      <c r="H9" s="126"/>
      <c r="I9" s="126"/>
      <c r="J9" s="127" t="s">
        <v>177</v>
      </c>
      <c r="K9" s="127"/>
      <c r="L9" s="127"/>
      <c r="M9" s="127"/>
      <c r="N9" s="385"/>
      <c r="O9" s="70"/>
    </row>
    <row r="10" spans="1:15" ht="15.75">
      <c r="A10" s="574"/>
      <c r="B10" s="574"/>
      <c r="C10" s="574"/>
      <c r="D10" s="574"/>
      <c r="E10" s="574"/>
      <c r="F10" s="574"/>
      <c r="G10" s="574"/>
      <c r="H10" s="431"/>
      <c r="I10" s="431"/>
      <c r="J10" s="431"/>
      <c r="K10" s="431"/>
      <c r="L10" s="431"/>
      <c r="M10" s="431"/>
      <c r="N10" s="431"/>
      <c r="O10" s="84"/>
    </row>
    <row r="11" spans="1:15" ht="15.75">
      <c r="A11" s="568"/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84"/>
    </row>
    <row r="12" spans="1:15">
      <c r="A12" s="502" t="s">
        <v>178</v>
      </c>
      <c r="B12" s="486" t="s">
        <v>10</v>
      </c>
      <c r="C12" s="487" t="s">
        <v>231</v>
      </c>
      <c r="D12" s="491" t="s">
        <v>233</v>
      </c>
      <c r="E12" s="488" t="s">
        <v>71</v>
      </c>
      <c r="F12" s="567" t="s">
        <v>96</v>
      </c>
      <c r="G12" s="567"/>
      <c r="H12" s="567"/>
      <c r="I12" s="567"/>
      <c r="J12" s="567"/>
      <c r="K12" s="567"/>
      <c r="L12" s="567"/>
      <c r="M12" s="567"/>
      <c r="N12" s="569" t="s">
        <v>97</v>
      </c>
      <c r="O12" s="481" t="s">
        <v>84</v>
      </c>
    </row>
    <row r="13" spans="1:15" ht="25.5">
      <c r="A13" s="503"/>
      <c r="B13" s="486"/>
      <c r="C13" s="487"/>
      <c r="D13" s="492"/>
      <c r="E13" s="488"/>
      <c r="F13" s="73" t="s">
        <v>16</v>
      </c>
      <c r="G13" s="73" t="s">
        <v>17</v>
      </c>
      <c r="H13" s="73" t="s">
        <v>59</v>
      </c>
      <c r="I13" s="73" t="s">
        <v>41</v>
      </c>
      <c r="J13" s="73" t="s">
        <v>42</v>
      </c>
      <c r="K13" s="73" t="s">
        <v>45</v>
      </c>
      <c r="L13" s="73" t="s">
        <v>43</v>
      </c>
      <c r="M13" s="73" t="s">
        <v>44</v>
      </c>
      <c r="N13" s="569"/>
      <c r="O13" s="481"/>
    </row>
    <row r="14" spans="1:15">
      <c r="A14" s="482" t="s">
        <v>18</v>
      </c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</row>
    <row r="15" spans="1:15">
      <c r="A15" s="78" t="s">
        <v>19</v>
      </c>
      <c r="B15" s="76">
        <v>1</v>
      </c>
      <c r="C15" s="399">
        <v>17010</v>
      </c>
      <c r="D15" s="399"/>
      <c r="E15" s="323">
        <f>C15*B15</f>
        <v>17010</v>
      </c>
      <c r="F15" s="323"/>
      <c r="G15" s="323"/>
      <c r="H15" s="323"/>
      <c r="I15" s="323"/>
      <c r="J15" s="323">
        <f>E15*25%</f>
        <v>4252.5</v>
      </c>
      <c r="K15" s="323">
        <f>E15+J15</f>
        <v>21262.5</v>
      </c>
      <c r="L15" s="323">
        <f>K15*80%</f>
        <v>17010</v>
      </c>
      <c r="M15" s="323">
        <f>L15+K15</f>
        <v>38272.5</v>
      </c>
      <c r="N15" s="323">
        <f>M15</f>
        <v>38272.5</v>
      </c>
      <c r="O15" s="432"/>
    </row>
    <row r="16" spans="1:15" ht="38.25">
      <c r="A16" s="75" t="s">
        <v>188</v>
      </c>
      <c r="B16" s="74">
        <v>0.5</v>
      </c>
      <c r="C16" s="400">
        <v>15309</v>
      </c>
      <c r="D16" s="400"/>
      <c r="E16" s="313">
        <f>C16*B16</f>
        <v>7654.5</v>
      </c>
      <c r="F16" s="313"/>
      <c r="G16" s="313"/>
      <c r="H16" s="313"/>
      <c r="I16" s="313"/>
      <c r="J16" s="313">
        <f>E16*25%</f>
        <v>1913.625</v>
      </c>
      <c r="K16" s="313">
        <f>E16+J16</f>
        <v>9568.125</v>
      </c>
      <c r="L16" s="313">
        <f>K16*80%</f>
        <v>7654.5</v>
      </c>
      <c r="M16" s="313">
        <f>L16+K16</f>
        <v>17222.625</v>
      </c>
      <c r="N16" s="313">
        <f>M16</f>
        <v>17222.625</v>
      </c>
      <c r="O16" s="432"/>
    </row>
    <row r="17" spans="1:17">
      <c r="A17" s="98" t="s">
        <v>15</v>
      </c>
      <c r="B17" s="100">
        <f>SUM(B15:B16)</f>
        <v>1.5</v>
      </c>
      <c r="C17" s="100"/>
      <c r="D17" s="100"/>
      <c r="E17" s="391">
        <f>SUM(E15:E16)</f>
        <v>24664.5</v>
      </c>
      <c r="F17" s="391"/>
      <c r="G17" s="391"/>
      <c r="H17" s="391"/>
      <c r="I17" s="391"/>
      <c r="J17" s="391">
        <f>SUM(J15:J16)</f>
        <v>6166.125</v>
      </c>
      <c r="K17" s="391">
        <f>SUM(K15:K16)</f>
        <v>30830.625</v>
      </c>
      <c r="L17" s="391">
        <f>SUM(L15:L16)</f>
        <v>24664.5</v>
      </c>
      <c r="M17" s="391">
        <f>SUM(M15:M16)</f>
        <v>55495.125</v>
      </c>
      <c r="N17" s="391">
        <f>M17</f>
        <v>55495.125</v>
      </c>
      <c r="O17" s="389"/>
    </row>
    <row r="18" spans="1:17">
      <c r="A18" s="483" t="s">
        <v>22</v>
      </c>
      <c r="B18" s="483"/>
      <c r="C18" s="483"/>
      <c r="D18" s="483"/>
      <c r="E18" s="483"/>
      <c r="F18" s="483"/>
      <c r="G18" s="483"/>
      <c r="H18" s="483"/>
      <c r="I18" s="483"/>
      <c r="J18" s="483"/>
      <c r="K18" s="483"/>
      <c r="L18" s="483"/>
      <c r="M18" s="483"/>
      <c r="N18" s="483"/>
      <c r="O18" s="483"/>
    </row>
    <row r="19" spans="1:17">
      <c r="A19" s="75" t="s">
        <v>187</v>
      </c>
      <c r="B19" s="137">
        <v>7.61</v>
      </c>
      <c r="C19" s="433">
        <v>12600</v>
      </c>
      <c r="D19" s="444">
        <v>1.077</v>
      </c>
      <c r="E19" s="325">
        <f>B19*C19*D19</f>
        <v>103269.22199999999</v>
      </c>
      <c r="F19" s="325"/>
      <c r="G19" s="325"/>
      <c r="H19" s="325">
        <v>1714.29</v>
      </c>
      <c r="I19" s="325">
        <v>3396.05</v>
      </c>
      <c r="J19" s="325">
        <f>E19*25%</f>
        <v>25817.305499999999</v>
      </c>
      <c r="K19" s="325">
        <f>E19+H19+I19+J19+0.1</f>
        <v>134196.9675</v>
      </c>
      <c r="L19" s="325">
        <f>K19*80%</f>
        <v>107357.57400000001</v>
      </c>
      <c r="M19" s="325">
        <f>K19+L19</f>
        <v>241554.54149999999</v>
      </c>
      <c r="N19" s="323">
        <f>M19</f>
        <v>241554.54149999999</v>
      </c>
      <c r="O19" s="434"/>
    </row>
    <row r="20" spans="1:17">
      <c r="A20" s="98" t="s">
        <v>15</v>
      </c>
      <c r="B20" s="389">
        <f>B19</f>
        <v>7.61</v>
      </c>
      <c r="C20" s="389"/>
      <c r="D20" s="389"/>
      <c r="E20" s="391">
        <f>SUM(E19:E19)</f>
        <v>103269.22199999999</v>
      </c>
      <c r="F20" s="391"/>
      <c r="G20" s="391"/>
      <c r="H20" s="391">
        <f>H19</f>
        <v>1714.29</v>
      </c>
      <c r="I20" s="391">
        <f t="shared" ref="I20:N20" si="0">I19</f>
        <v>3396.05</v>
      </c>
      <c r="J20" s="391">
        <f t="shared" si="0"/>
        <v>25817.305499999999</v>
      </c>
      <c r="K20" s="391">
        <f t="shared" si="0"/>
        <v>134196.9675</v>
      </c>
      <c r="L20" s="391">
        <f t="shared" si="0"/>
        <v>107357.57400000001</v>
      </c>
      <c r="M20" s="391">
        <f t="shared" si="0"/>
        <v>241554.54149999999</v>
      </c>
      <c r="N20" s="391">
        <f t="shared" si="0"/>
        <v>241554.54149999999</v>
      </c>
      <c r="O20" s="389"/>
    </row>
    <row r="21" spans="1:17">
      <c r="A21" s="99" t="s">
        <v>223</v>
      </c>
      <c r="B21" s="389">
        <f>B17+B20</f>
        <v>9.11</v>
      </c>
      <c r="C21" s="100"/>
      <c r="D21" s="100"/>
      <c r="E21" s="391">
        <f>E17+E20</f>
        <v>127933.72199999999</v>
      </c>
      <c r="F21" s="391"/>
      <c r="G21" s="391"/>
      <c r="H21" s="391">
        <f t="shared" ref="H21:N21" si="1">H17+H20</f>
        <v>1714.29</v>
      </c>
      <c r="I21" s="391">
        <f t="shared" si="1"/>
        <v>3396.05</v>
      </c>
      <c r="J21" s="391">
        <f t="shared" si="1"/>
        <v>31983.430499999999</v>
      </c>
      <c r="K21" s="391">
        <f t="shared" si="1"/>
        <v>165027.5925</v>
      </c>
      <c r="L21" s="391">
        <f t="shared" si="1"/>
        <v>132022.07400000002</v>
      </c>
      <c r="M21" s="391">
        <f t="shared" si="1"/>
        <v>297049.66649999999</v>
      </c>
      <c r="N21" s="391">
        <f t="shared" si="1"/>
        <v>297049.66649999999</v>
      </c>
      <c r="O21" s="391"/>
    </row>
    <row r="22" spans="1:17">
      <c r="A22" s="482" t="s">
        <v>4</v>
      </c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</row>
    <row r="23" spans="1:17">
      <c r="A23" s="75" t="s">
        <v>246</v>
      </c>
      <c r="B23" s="74">
        <v>2</v>
      </c>
      <c r="C23" s="74">
        <v>5253</v>
      </c>
      <c r="D23" s="74"/>
      <c r="E23" s="313">
        <f>B23*C23</f>
        <v>10506</v>
      </c>
      <c r="F23" s="313">
        <f>C23/165.5*61*35%*B23</f>
        <v>1355.3057401812689</v>
      </c>
      <c r="G23" s="313">
        <f>C23*12/1986*288/12*B23</f>
        <v>1523.5287009063443</v>
      </c>
      <c r="H23" s="313"/>
      <c r="I23" s="313"/>
      <c r="J23" s="313">
        <f>(E23+F23+G23)*25%</f>
        <v>3346.2086102719036</v>
      </c>
      <c r="K23" s="313">
        <f>J23+G23+F23+E23</f>
        <v>16731.043051359517</v>
      </c>
      <c r="L23" s="313">
        <f>K23*80%</f>
        <v>13384.834441087614</v>
      </c>
      <c r="M23" s="313">
        <f>L23+K23</f>
        <v>30115.877492447129</v>
      </c>
      <c r="N23" s="313">
        <f>M23</f>
        <v>30115.877492447129</v>
      </c>
      <c r="O23" s="435"/>
    </row>
    <row r="24" spans="1:17" ht="25.5">
      <c r="A24" s="77" t="s">
        <v>60</v>
      </c>
      <c r="B24" s="74">
        <f>1-0.25</f>
        <v>0.75</v>
      </c>
      <c r="C24" s="74">
        <v>5253</v>
      </c>
      <c r="D24" s="74"/>
      <c r="E24" s="313">
        <f>B24*C24</f>
        <v>3939.75</v>
      </c>
      <c r="F24" s="313"/>
      <c r="G24" s="313"/>
      <c r="H24" s="313"/>
      <c r="I24" s="313"/>
      <c r="J24" s="313">
        <f>E24*25%</f>
        <v>984.9375</v>
      </c>
      <c r="K24" s="313">
        <f>E24+J24</f>
        <v>4924.6875</v>
      </c>
      <c r="L24" s="313">
        <f>K24*80%</f>
        <v>3939.75</v>
      </c>
      <c r="M24" s="313">
        <f>L24+K24</f>
        <v>8864.4375</v>
      </c>
      <c r="N24" s="313">
        <f>M24</f>
        <v>8864.4375</v>
      </c>
      <c r="O24" s="435">
        <f>B24*O29*1.8-(N24/70*30+N24)</f>
        <v>2564.5178571428569</v>
      </c>
    </row>
    <row r="25" spans="1:17">
      <c r="A25" s="77" t="s">
        <v>254</v>
      </c>
      <c r="B25" s="74">
        <v>0.5</v>
      </c>
      <c r="C25" s="74">
        <v>6768</v>
      </c>
      <c r="D25" s="74"/>
      <c r="E25" s="313">
        <f>B25*C25</f>
        <v>3384</v>
      </c>
      <c r="F25" s="313"/>
      <c r="G25" s="313"/>
      <c r="H25" s="313"/>
      <c r="I25" s="313"/>
      <c r="J25" s="313">
        <f>E25*25%</f>
        <v>846</v>
      </c>
      <c r="K25" s="313">
        <f>E25+J25</f>
        <v>4230</v>
      </c>
      <c r="L25" s="313">
        <f>K25*80%</f>
        <v>3384</v>
      </c>
      <c r="M25" s="313">
        <f>L25+K25</f>
        <v>7614</v>
      </c>
      <c r="N25" s="313">
        <f>M25</f>
        <v>7614</v>
      </c>
      <c r="O25" s="435"/>
    </row>
    <row r="26" spans="1:17" ht="15.75" customHeight="1">
      <c r="A26" s="77" t="s">
        <v>245</v>
      </c>
      <c r="B26" s="74">
        <v>3</v>
      </c>
      <c r="C26" s="74">
        <v>5253</v>
      </c>
      <c r="D26" s="74"/>
      <c r="E26" s="313">
        <f>B26*C26</f>
        <v>15759</v>
      </c>
      <c r="F26" s="313">
        <f>C26/165.5*61*35%*B26</f>
        <v>2032.9586102719034</v>
      </c>
      <c r="G26" s="313">
        <f>C26*12/1986*288/12*B26</f>
        <v>2285.2930513595165</v>
      </c>
      <c r="H26" s="313"/>
      <c r="I26" s="313"/>
      <c r="J26" s="313">
        <f>(E26+F26+G26)*25%</f>
        <v>5019.3129154078551</v>
      </c>
      <c r="K26" s="313">
        <f>J26+G26+F26+E26</f>
        <v>25096.564577039273</v>
      </c>
      <c r="L26" s="313">
        <f>K26*80%</f>
        <v>20077.251661631421</v>
      </c>
      <c r="M26" s="313">
        <f>L26+K26</f>
        <v>45173.816238670697</v>
      </c>
      <c r="N26" s="313">
        <f>M26</f>
        <v>45173.816238670697</v>
      </c>
      <c r="O26" s="435"/>
    </row>
    <row r="27" spans="1:17">
      <c r="A27" s="99"/>
      <c r="B27" s="100">
        <f>SUM(B23:B26)</f>
        <v>6.25</v>
      </c>
      <c r="C27" s="100"/>
      <c r="D27" s="100"/>
      <c r="E27" s="391">
        <f>SUM(E23:E26)</f>
        <v>33588.75</v>
      </c>
      <c r="F27" s="391">
        <f t="shared" ref="F27:Q27" si="2">SUM(F23:F26)</f>
        <v>3388.2643504531725</v>
      </c>
      <c r="G27" s="391">
        <f t="shared" si="2"/>
        <v>3808.8217522658606</v>
      </c>
      <c r="H27" s="391"/>
      <c r="I27" s="391"/>
      <c r="J27" s="391">
        <f t="shared" si="2"/>
        <v>10196.45902567976</v>
      </c>
      <c r="K27" s="391">
        <f t="shared" si="2"/>
        <v>50982.295128398793</v>
      </c>
      <c r="L27" s="391">
        <f t="shared" si="2"/>
        <v>40785.83610271904</v>
      </c>
      <c r="M27" s="391">
        <f t="shared" si="2"/>
        <v>91768.131231117819</v>
      </c>
      <c r="N27" s="391">
        <f t="shared" si="2"/>
        <v>91768.131231117819</v>
      </c>
      <c r="O27" s="391">
        <f t="shared" si="2"/>
        <v>2564.5178571428569</v>
      </c>
      <c r="P27" s="300">
        <f t="shared" si="2"/>
        <v>0</v>
      </c>
      <c r="Q27" s="300">
        <f t="shared" si="2"/>
        <v>0</v>
      </c>
    </row>
    <row r="28" spans="1:17">
      <c r="A28" s="101" t="s">
        <v>5</v>
      </c>
      <c r="B28" s="327">
        <f>B21+B27</f>
        <v>15.36</v>
      </c>
      <c r="C28" s="228"/>
      <c r="D28" s="228"/>
      <c r="E28" s="326">
        <f>E27+E21</f>
        <v>161522.47200000001</v>
      </c>
      <c r="F28" s="326">
        <f t="shared" ref="F28:O28" si="3">F27+F21</f>
        <v>3388.2643504531725</v>
      </c>
      <c r="G28" s="326">
        <f t="shared" si="3"/>
        <v>3808.8217522658606</v>
      </c>
      <c r="H28" s="326">
        <f t="shared" si="3"/>
        <v>1714.29</v>
      </c>
      <c r="I28" s="326">
        <f t="shared" si="3"/>
        <v>3396.05</v>
      </c>
      <c r="J28" s="326">
        <f t="shared" si="3"/>
        <v>42179.889525679755</v>
      </c>
      <c r="K28" s="326">
        <f t="shared" si="3"/>
        <v>216009.88762839878</v>
      </c>
      <c r="L28" s="326">
        <f t="shared" si="3"/>
        <v>172807.91010271906</v>
      </c>
      <c r="M28" s="326">
        <f t="shared" si="3"/>
        <v>388817.79773111781</v>
      </c>
      <c r="N28" s="326">
        <f t="shared" si="3"/>
        <v>388817.79773111781</v>
      </c>
      <c r="O28" s="326">
        <f t="shared" si="3"/>
        <v>2564.5178571428569</v>
      </c>
    </row>
    <row r="29" spans="1:17" ht="13.5">
      <c r="A29" s="80" t="s">
        <v>95</v>
      </c>
      <c r="B29" s="70"/>
      <c r="C29" s="70"/>
      <c r="D29" s="70"/>
      <c r="E29" s="70"/>
      <c r="F29" s="294"/>
      <c r="G29" s="500" t="s">
        <v>161</v>
      </c>
      <c r="H29" s="500"/>
      <c r="I29" s="500"/>
      <c r="J29" s="500"/>
      <c r="K29" s="81"/>
      <c r="L29" s="70"/>
      <c r="M29" s="70"/>
      <c r="N29" s="436" t="s">
        <v>183</v>
      </c>
      <c r="O29" s="437">
        <v>11280</v>
      </c>
    </row>
    <row r="30" spans="1:17">
      <c r="A30" s="70" t="s">
        <v>51</v>
      </c>
      <c r="B30" s="70"/>
      <c r="C30" s="70"/>
      <c r="D30" s="70"/>
      <c r="E30" s="297">
        <f>N21</f>
        <v>297049.66649999999</v>
      </c>
      <c r="F30" s="70"/>
      <c r="G30" s="70" t="s">
        <v>51</v>
      </c>
      <c r="H30" s="69"/>
      <c r="I30" s="70"/>
      <c r="J30" s="53"/>
      <c r="K30" s="346">
        <f>N27+O27</f>
        <v>94332.649088260674</v>
      </c>
      <c r="L30" s="82"/>
      <c r="M30" s="70"/>
      <c r="N30" s="70"/>
      <c r="O30" s="70"/>
    </row>
    <row r="31" spans="1:17">
      <c r="A31" s="70" t="s">
        <v>50</v>
      </c>
      <c r="B31" s="70"/>
      <c r="C31" s="70"/>
      <c r="D31" s="70"/>
      <c r="E31" s="297">
        <f>E30/70*30</f>
        <v>127306.99992857143</v>
      </c>
      <c r="F31" s="70"/>
      <c r="G31" s="70" t="s">
        <v>50</v>
      </c>
      <c r="H31" s="70"/>
      <c r="I31" s="70"/>
      <c r="J31" s="53"/>
      <c r="K31" s="346">
        <f>N27/70*30</f>
        <v>39329.199099050493</v>
      </c>
      <c r="L31" s="82"/>
      <c r="M31" s="70"/>
      <c r="N31" s="70"/>
      <c r="O31" s="70"/>
    </row>
    <row r="32" spans="1:17">
      <c r="A32" s="70" t="s">
        <v>6</v>
      </c>
      <c r="B32" s="70"/>
      <c r="C32" s="70"/>
      <c r="D32" s="70"/>
      <c r="E32" s="297">
        <f>SUM(E30:E31)</f>
        <v>424356.66642857145</v>
      </c>
      <c r="F32" s="70"/>
      <c r="G32" s="70" t="s">
        <v>6</v>
      </c>
      <c r="H32" s="69"/>
      <c r="I32" s="70"/>
      <c r="J32" s="53"/>
      <c r="K32" s="346">
        <f>SUM(K30:K31)</f>
        <v>133661.84818731117</v>
      </c>
      <c r="L32" s="82"/>
      <c r="M32" s="70"/>
      <c r="N32" s="70"/>
      <c r="O32" s="70"/>
    </row>
    <row r="33" spans="1:15">
      <c r="A33" s="296"/>
      <c r="B33" s="70"/>
      <c r="C33" s="70"/>
      <c r="D33" s="70"/>
      <c r="E33" s="70"/>
      <c r="F33" s="70"/>
      <c r="G33" s="70"/>
      <c r="H33" s="70"/>
      <c r="I33" s="70"/>
      <c r="J33" s="53"/>
      <c r="K33" s="82"/>
      <c r="L33" s="82"/>
      <c r="M33" s="70"/>
      <c r="N33" s="70"/>
      <c r="O33" s="70"/>
    </row>
    <row r="34" spans="1:15" ht="15.75">
      <c r="A34" s="70" t="s">
        <v>163</v>
      </c>
      <c r="B34" s="70"/>
      <c r="C34" s="70"/>
      <c r="D34" s="70"/>
      <c r="E34" s="70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>
      <c r="A35" s="70" t="s">
        <v>166</v>
      </c>
      <c r="B35" s="70"/>
      <c r="C35" s="70"/>
      <c r="D35" s="70"/>
      <c r="E35" s="70" t="s">
        <v>66</v>
      </c>
      <c r="F35" s="70" t="s">
        <v>61</v>
      </c>
      <c r="G35" s="70"/>
      <c r="H35" s="70"/>
      <c r="I35" s="70"/>
      <c r="J35" s="70"/>
      <c r="K35" s="70"/>
      <c r="L35" s="70"/>
      <c r="M35" s="70"/>
      <c r="N35" s="70"/>
      <c r="O35" s="70"/>
    </row>
    <row r="36" spans="1:1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1: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</sheetData>
  <mergeCells count="22">
    <mergeCell ref="A8:I8"/>
    <mergeCell ref="A18:O18"/>
    <mergeCell ref="A22:O22"/>
    <mergeCell ref="A7:C7"/>
    <mergeCell ref="D12:D13"/>
    <mergeCell ref="A14:O14"/>
    <mergeCell ref="K1:O1"/>
    <mergeCell ref="K4:L4"/>
    <mergeCell ref="F6:G6"/>
    <mergeCell ref="F7:G7"/>
    <mergeCell ref="O12:O13"/>
    <mergeCell ref="E12:E13"/>
    <mergeCell ref="F12:M12"/>
    <mergeCell ref="E5:H5"/>
    <mergeCell ref="A9:G9"/>
    <mergeCell ref="A10:G10"/>
    <mergeCell ref="G29:J29"/>
    <mergeCell ref="A11:N11"/>
    <mergeCell ref="A12:A13"/>
    <mergeCell ref="B12:B13"/>
    <mergeCell ref="C12:C13"/>
    <mergeCell ref="N12:N13"/>
  </mergeCells>
  <phoneticPr fontId="0" type="noConversion"/>
  <pageMargins left="0.19685039370078741" right="0.15748031496062992" top="0.19685039370078741" bottom="0.19685039370078741" header="0.15748031496062992" footer="0.19685039370078741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5">
    <tabColor rgb="FFFF0000"/>
  </sheetPr>
  <dimension ref="A1:AL255"/>
  <sheetViews>
    <sheetView topLeftCell="A230" zoomScaleNormal="100" zoomScaleSheetLayoutView="100" workbookViewId="0">
      <selection activeCell="I240" sqref="I240"/>
    </sheetView>
  </sheetViews>
  <sheetFormatPr defaultRowHeight="12.75"/>
  <cols>
    <col min="1" max="1" width="22.140625" customWidth="1"/>
    <col min="2" max="4" width="8.42578125" customWidth="1"/>
    <col min="5" max="5" width="10.5703125" customWidth="1"/>
    <col min="6" max="7" width="8.7109375" customWidth="1"/>
    <col min="8" max="8" width="9.5703125" customWidth="1"/>
    <col min="9" max="10" width="9.28515625" customWidth="1"/>
    <col min="11" max="11" width="10.140625" customWidth="1"/>
    <col min="12" max="12" width="10.42578125" customWidth="1"/>
    <col min="13" max="13" width="10.140625" customWidth="1"/>
    <col min="14" max="14" width="12.28515625" customWidth="1"/>
    <col min="15" max="15" width="10.42578125" customWidth="1"/>
    <col min="16" max="16" width="11.140625" hidden="1" customWidth="1"/>
    <col min="17" max="18" width="10.7109375" customWidth="1"/>
    <col min="19" max="19" width="10.85546875" customWidth="1"/>
    <col min="20" max="20" width="6.7109375" customWidth="1"/>
    <col min="21" max="21" width="10.42578125" customWidth="1"/>
    <col min="22" max="22" width="15.7109375" customWidth="1"/>
    <col min="23" max="23" width="6.85546875" customWidth="1"/>
    <col min="24" max="24" width="6.5703125" customWidth="1"/>
    <col min="25" max="25" width="6.85546875" customWidth="1"/>
    <col min="26" max="26" width="9.85546875" customWidth="1"/>
    <col min="27" max="27" width="6.5703125" customWidth="1"/>
    <col min="28" max="29" width="6.42578125" customWidth="1"/>
    <col min="30" max="30" width="8.42578125" customWidth="1"/>
    <col min="31" max="32" width="9.28515625" customWidth="1"/>
    <col min="33" max="33" width="12.140625" customWidth="1"/>
    <col min="34" max="34" width="7.28515625" customWidth="1"/>
    <col min="35" max="35" width="6.7109375" customWidth="1"/>
    <col min="36" max="36" width="10" customWidth="1"/>
    <col min="37" max="37" width="9" customWidth="1"/>
    <col min="38" max="38" width="9.28515625" hidden="1" customWidth="1"/>
    <col min="39" max="39" width="14.140625" customWidth="1"/>
    <col min="40" max="40" width="6.140625" customWidth="1"/>
    <col min="41" max="42" width="7" customWidth="1"/>
    <col min="44" max="44" width="7" customWidth="1"/>
    <col min="45" max="45" width="6.42578125" customWidth="1"/>
    <col min="46" max="46" width="4.85546875" customWidth="1"/>
    <col min="47" max="47" width="8.7109375" customWidth="1"/>
    <col min="48" max="48" width="8.5703125" customWidth="1"/>
    <col min="49" max="49" width="9.5703125" customWidth="1"/>
    <col min="50" max="50" width="10.5703125" customWidth="1"/>
    <col min="51" max="51" width="7.85546875" customWidth="1"/>
    <col min="52" max="52" width="8.42578125" customWidth="1"/>
    <col min="53" max="53" width="10.140625" customWidth="1"/>
    <col min="54" max="54" width="12.85546875" customWidth="1"/>
    <col min="55" max="55" width="15.5703125" customWidth="1"/>
    <col min="56" max="56" width="6.140625" customWidth="1"/>
    <col min="57" max="57" width="7" customWidth="1"/>
    <col min="58" max="58" width="8.5703125" customWidth="1"/>
    <col min="59" max="59" width="9.5703125" customWidth="1"/>
    <col min="60" max="61" width="8.7109375" customWidth="1"/>
    <col min="62" max="62" width="7.42578125" customWidth="1"/>
    <col min="63" max="63" width="7.7109375" customWidth="1"/>
    <col min="64" max="64" width="9.85546875" customWidth="1"/>
    <col min="65" max="65" width="8.7109375" customWidth="1"/>
    <col min="66" max="66" width="10.5703125" customWidth="1"/>
    <col min="67" max="67" width="10" customWidth="1"/>
    <col min="68" max="68" width="7.7109375" customWidth="1"/>
    <col min="69" max="69" width="9.5703125" customWidth="1"/>
    <col min="70" max="70" width="10.42578125" customWidth="1"/>
    <col min="71" max="71" width="1.85546875" customWidth="1"/>
    <col min="72" max="72" width="3.42578125" customWidth="1"/>
    <col min="73" max="73" width="15.7109375" customWidth="1"/>
    <col min="74" max="74" width="6.140625" customWidth="1"/>
    <col min="75" max="75" width="6.7109375" customWidth="1"/>
    <col min="76" max="76" width="7.42578125" customWidth="1"/>
    <col min="78" max="78" width="7.85546875" customWidth="1"/>
    <col min="79" max="79" width="6.85546875" customWidth="1"/>
    <col min="80" max="80" width="7.140625" customWidth="1"/>
    <col min="81" max="81" width="7.42578125" customWidth="1"/>
    <col min="82" max="82" width="8.5703125" customWidth="1"/>
    <col min="84" max="84" width="9.85546875" customWidth="1"/>
    <col min="85" max="85" width="8" customWidth="1"/>
    <col min="86" max="86" width="7.5703125" customWidth="1"/>
    <col min="87" max="87" width="10.28515625" customWidth="1"/>
    <col min="88" max="88" width="10" customWidth="1"/>
    <col min="89" max="89" width="8.42578125" customWidth="1"/>
    <col min="90" max="90" width="15.5703125" customWidth="1"/>
    <col min="91" max="91" width="6" customWidth="1"/>
    <col min="92" max="92" width="6.85546875" customWidth="1"/>
    <col min="93" max="93" width="7.140625" customWidth="1"/>
    <col min="94" max="94" width="10.140625" customWidth="1"/>
    <col min="95" max="95" width="7.7109375" customWidth="1"/>
    <col min="96" max="96" width="6.5703125" customWidth="1"/>
    <col min="97" max="98" width="7.140625" customWidth="1"/>
    <col min="99" max="99" width="8.42578125" customWidth="1"/>
    <col min="100" max="100" width="9.28515625" bestFit="1" customWidth="1"/>
    <col min="101" max="101" width="10" customWidth="1"/>
    <col min="102" max="102" width="7.28515625" customWidth="1"/>
    <col min="103" max="103" width="7.42578125" customWidth="1"/>
    <col min="104" max="104" width="10.42578125" customWidth="1"/>
    <col min="105" max="105" width="9.85546875" bestFit="1" customWidth="1"/>
  </cols>
  <sheetData>
    <row r="1" spans="1:15" ht="15.75" hidden="1">
      <c r="A1" s="113" t="s">
        <v>120</v>
      </c>
      <c r="B1" s="113"/>
      <c r="C1" s="113"/>
      <c r="D1" s="113"/>
      <c r="E1" s="113"/>
      <c r="F1" s="114"/>
      <c r="G1" s="114"/>
      <c r="H1" s="114"/>
      <c r="I1" s="114"/>
      <c r="J1" s="115"/>
      <c r="K1" s="449" t="s">
        <v>109</v>
      </c>
      <c r="L1" s="449"/>
      <c r="M1" s="449"/>
    </row>
    <row r="2" spans="1:15" ht="15.75" hidden="1">
      <c r="A2" s="113" t="s">
        <v>121</v>
      </c>
      <c r="B2" s="113"/>
      <c r="C2" s="113"/>
      <c r="D2" s="113"/>
      <c r="E2" s="113"/>
      <c r="F2" s="114"/>
      <c r="G2" s="114"/>
      <c r="H2" s="114"/>
      <c r="I2" s="114"/>
      <c r="J2" s="116"/>
      <c r="K2" s="449"/>
      <c r="L2" s="449"/>
      <c r="M2" s="449"/>
    </row>
    <row r="3" spans="1:15" ht="15.75" hidden="1">
      <c r="A3" s="113"/>
      <c r="B3" s="113"/>
      <c r="C3" s="113"/>
      <c r="D3" s="113"/>
      <c r="E3" s="113"/>
      <c r="F3" s="114"/>
      <c r="G3" s="114"/>
      <c r="H3" s="114"/>
      <c r="I3" s="114"/>
      <c r="J3" s="116"/>
      <c r="K3" s="116"/>
      <c r="L3" s="116"/>
      <c r="M3" s="117" t="s">
        <v>110</v>
      </c>
    </row>
    <row r="4" spans="1:15" ht="15.75" hidden="1">
      <c r="A4" s="113" t="s">
        <v>122</v>
      </c>
      <c r="B4" s="113"/>
      <c r="C4" s="113"/>
      <c r="D4" s="113"/>
      <c r="E4" s="113"/>
      <c r="F4" s="114"/>
      <c r="G4" s="114"/>
      <c r="H4" s="114"/>
      <c r="I4" s="114"/>
      <c r="J4" s="118"/>
      <c r="K4" s="450" t="s">
        <v>111</v>
      </c>
      <c r="L4" s="451"/>
      <c r="M4" s="119">
        <v>301017</v>
      </c>
    </row>
    <row r="5" spans="1:15" ht="18.75" hidden="1">
      <c r="A5" s="113"/>
      <c r="B5" s="452" t="s">
        <v>126</v>
      </c>
      <c r="C5" s="452"/>
      <c r="D5" s="452"/>
      <c r="E5" s="452"/>
      <c r="F5" s="452"/>
      <c r="G5" s="452"/>
      <c r="H5" s="452"/>
      <c r="I5" s="452"/>
      <c r="J5" s="452"/>
      <c r="K5" s="115"/>
      <c r="L5" s="120" t="s">
        <v>112</v>
      </c>
      <c r="M5" s="121"/>
    </row>
    <row r="6" spans="1:15" ht="15.75" hidden="1">
      <c r="A6" s="113"/>
      <c r="B6" s="113"/>
      <c r="C6" s="113"/>
      <c r="D6" s="113"/>
      <c r="E6" s="122" t="s">
        <v>113</v>
      </c>
      <c r="F6" s="453" t="s">
        <v>114</v>
      </c>
      <c r="G6" s="453"/>
      <c r="H6" s="114"/>
      <c r="I6" s="114"/>
      <c r="J6" s="454" t="s">
        <v>115</v>
      </c>
      <c r="K6" s="454"/>
      <c r="L6" s="454"/>
      <c r="M6" s="454"/>
    </row>
    <row r="7" spans="1:15" ht="15.75" hidden="1">
      <c r="A7" s="558" t="s">
        <v>116</v>
      </c>
      <c r="B7" s="558"/>
      <c r="C7" s="559"/>
      <c r="D7" s="164"/>
      <c r="E7" s="123"/>
      <c r="F7" s="578" t="s">
        <v>136</v>
      </c>
      <c r="G7" s="578"/>
      <c r="H7" s="114"/>
      <c r="I7" s="114"/>
      <c r="J7" s="115" t="s">
        <v>117</v>
      </c>
      <c r="K7" s="115"/>
      <c r="L7" s="115"/>
      <c r="M7" s="115"/>
    </row>
    <row r="8" spans="1:15" ht="15.75" hidden="1">
      <c r="A8" s="462" t="s">
        <v>137</v>
      </c>
      <c r="B8" s="462"/>
      <c r="C8" s="462"/>
      <c r="D8" s="462"/>
      <c r="E8" s="462"/>
      <c r="F8" s="462"/>
      <c r="G8" s="462"/>
      <c r="H8" s="114"/>
      <c r="I8" s="114"/>
      <c r="J8" s="115" t="s">
        <v>118</v>
      </c>
      <c r="K8" s="115"/>
      <c r="L8" s="124">
        <f>B37</f>
        <v>29.67</v>
      </c>
      <c r="M8" s="115" t="s">
        <v>119</v>
      </c>
    </row>
    <row r="9" spans="1:15" ht="15.75" hidden="1">
      <c r="A9" s="125"/>
      <c r="B9" s="126"/>
      <c r="C9" s="126"/>
      <c r="D9" s="126"/>
      <c r="E9" s="126"/>
      <c r="F9" s="126"/>
      <c r="G9" s="126"/>
      <c r="H9" s="126"/>
      <c r="I9" s="126"/>
      <c r="J9" s="127" t="s">
        <v>127</v>
      </c>
      <c r="K9" s="127"/>
      <c r="L9" s="127"/>
      <c r="M9" s="127"/>
      <c r="N9" s="128"/>
      <c r="O9" s="128"/>
    </row>
    <row r="10" spans="1:15" hidden="1"/>
    <row r="11" spans="1:15" ht="18" hidden="1">
      <c r="A11" s="577" t="s">
        <v>7</v>
      </c>
      <c r="B11" s="577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168"/>
    </row>
    <row r="12" spans="1:15" hidden="1"/>
    <row r="13" spans="1:15" ht="15.75" hidden="1">
      <c r="A13" s="576" t="s">
        <v>138</v>
      </c>
      <c r="B13" s="576"/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76"/>
      <c r="N13" s="576"/>
      <c r="O13" s="31"/>
    </row>
    <row r="14" spans="1:15" hidden="1">
      <c r="B14" s="477" t="s">
        <v>108</v>
      </c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</row>
    <row r="15" spans="1:15" ht="12.75" hidden="1" customHeight="1">
      <c r="A15" s="1" t="s">
        <v>8</v>
      </c>
      <c r="B15" s="584" t="s">
        <v>10</v>
      </c>
      <c r="C15" s="583" t="s">
        <v>70</v>
      </c>
      <c r="D15" s="414"/>
      <c r="E15" s="579" t="s">
        <v>71</v>
      </c>
      <c r="F15" s="582" t="s">
        <v>97</v>
      </c>
      <c r="G15" s="582"/>
      <c r="H15" s="582"/>
      <c r="I15" s="582"/>
      <c r="J15" s="582"/>
      <c r="K15" s="582"/>
      <c r="L15" s="582"/>
      <c r="M15" s="582"/>
      <c r="N15" s="580" t="s">
        <v>97</v>
      </c>
      <c r="O15" s="169"/>
    </row>
    <row r="16" spans="1:15" ht="25.5" hidden="1">
      <c r="A16" s="1" t="s">
        <v>9</v>
      </c>
      <c r="B16" s="584"/>
      <c r="C16" s="583"/>
      <c r="D16" s="414"/>
      <c r="E16" s="579"/>
      <c r="F16" s="13" t="s">
        <v>16</v>
      </c>
      <c r="G16" s="13" t="s">
        <v>17</v>
      </c>
      <c r="H16" s="13" t="s">
        <v>59</v>
      </c>
      <c r="I16" s="13" t="s">
        <v>41</v>
      </c>
      <c r="J16" s="13" t="s">
        <v>42</v>
      </c>
      <c r="K16" s="13" t="s">
        <v>45</v>
      </c>
      <c r="L16" s="13" t="s">
        <v>52</v>
      </c>
      <c r="M16" s="13" t="s">
        <v>44</v>
      </c>
      <c r="N16" s="581"/>
      <c r="O16" s="169"/>
    </row>
    <row r="17" spans="1:20" hidden="1">
      <c r="A17" s="585" t="s">
        <v>18</v>
      </c>
      <c r="B17" s="585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170"/>
    </row>
    <row r="18" spans="1:20" hidden="1">
      <c r="A18" s="21" t="s">
        <v>19</v>
      </c>
      <c r="B18" s="1">
        <v>1</v>
      </c>
      <c r="C18" s="49">
        <v>7879</v>
      </c>
      <c r="D18" s="49"/>
      <c r="E18" s="49">
        <f>B18*C18</f>
        <v>7879</v>
      </c>
      <c r="F18" s="8"/>
      <c r="G18" s="8"/>
      <c r="H18" s="8"/>
      <c r="I18" s="8"/>
      <c r="J18" s="8">
        <f>E18*25%</f>
        <v>1969.75</v>
      </c>
      <c r="K18" s="8">
        <f>J18+E18</f>
        <v>9848.75</v>
      </c>
      <c r="L18" s="8">
        <f>K18*80%</f>
        <v>7879</v>
      </c>
      <c r="M18" s="8">
        <f>L18+K18</f>
        <v>17727.75</v>
      </c>
      <c r="N18" s="8">
        <f>M18</f>
        <v>17727.75</v>
      </c>
      <c r="O18" s="171"/>
    </row>
    <row r="19" spans="1:20" hidden="1">
      <c r="A19" s="21" t="s">
        <v>20</v>
      </c>
      <c r="B19" s="1">
        <v>1</v>
      </c>
      <c r="C19" s="49">
        <v>6303</v>
      </c>
      <c r="D19" s="49"/>
      <c r="E19" s="49">
        <f>B19*C19</f>
        <v>6303</v>
      </c>
      <c r="F19" s="8"/>
      <c r="G19" s="8"/>
      <c r="H19" s="8"/>
      <c r="I19" s="8"/>
      <c r="J19" s="8">
        <f>E19*25%</f>
        <v>1575.75</v>
      </c>
      <c r="K19" s="8">
        <f>J19+E19</f>
        <v>7878.75</v>
      </c>
      <c r="L19" s="8">
        <f>K19*80%</f>
        <v>6303</v>
      </c>
      <c r="M19" s="8">
        <f>L19+K19</f>
        <v>14181.75</v>
      </c>
      <c r="N19" s="8">
        <f>M19</f>
        <v>14181.75</v>
      </c>
      <c r="O19" s="171"/>
    </row>
    <row r="20" spans="1:20" hidden="1">
      <c r="A20" s="21" t="s">
        <v>21</v>
      </c>
      <c r="B20" s="1">
        <v>0.5</v>
      </c>
      <c r="C20" s="49">
        <v>6303</v>
      </c>
      <c r="D20" s="49"/>
      <c r="E20" s="49">
        <f>B20*C20</f>
        <v>3151.5</v>
      </c>
      <c r="F20" s="8"/>
      <c r="G20" s="8"/>
      <c r="H20" s="8"/>
      <c r="I20" s="8"/>
      <c r="J20" s="8">
        <f>E20*25%</f>
        <v>787.875</v>
      </c>
      <c r="K20" s="8">
        <f>J20+E20</f>
        <v>3939.375</v>
      </c>
      <c r="L20" s="8">
        <f>K20*80%</f>
        <v>3151.5</v>
      </c>
      <c r="M20" s="8">
        <f>L20+K20</f>
        <v>7090.875</v>
      </c>
      <c r="N20" s="8">
        <f>M20</f>
        <v>7090.875</v>
      </c>
      <c r="O20" s="171"/>
    </row>
    <row r="21" spans="1:20" hidden="1">
      <c r="A21" s="22" t="s">
        <v>15</v>
      </c>
      <c r="B21" s="23">
        <f>SUM(B18:B20)</f>
        <v>2.5</v>
      </c>
      <c r="C21" s="51"/>
      <c r="D21" s="51"/>
      <c r="E21" s="51">
        <f>SUM(E18:E20)</f>
        <v>17333.5</v>
      </c>
      <c r="F21" s="16"/>
      <c r="G21" s="16"/>
      <c r="H21" s="16"/>
      <c r="I21" s="16"/>
      <c r="J21" s="16">
        <f>SUM(J18:J20)</f>
        <v>4333.375</v>
      </c>
      <c r="K21" s="16">
        <f>SUM(K18:K20)</f>
        <v>21666.875</v>
      </c>
      <c r="L21" s="16">
        <f>SUM(L18:L20)</f>
        <v>17333.5</v>
      </c>
      <c r="M21" s="16">
        <f>SUM(M18:M20)</f>
        <v>39000.375</v>
      </c>
      <c r="N21" s="16">
        <f>SUM(N18:N20)</f>
        <v>39000.375</v>
      </c>
      <c r="O21" s="34"/>
      <c r="P21" s="34">
        <f>N21/70*30</f>
        <v>16714.446428571428</v>
      </c>
      <c r="Q21" s="9">
        <f>P21+N21</f>
        <v>55714.821428571428</v>
      </c>
      <c r="S21" s="109">
        <f>N21/70*30+N21</f>
        <v>55714.821428571428</v>
      </c>
    </row>
    <row r="22" spans="1:20" hidden="1">
      <c r="A22" s="586" t="s">
        <v>22</v>
      </c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172"/>
      <c r="S22" s="9"/>
    </row>
    <row r="23" spans="1:20" hidden="1">
      <c r="A23" s="7" t="s">
        <v>23</v>
      </c>
      <c r="B23" s="136">
        <v>7.92</v>
      </c>
      <c r="C23" s="136">
        <v>8170</v>
      </c>
      <c r="D23" s="136"/>
      <c r="E23" s="136">
        <v>64679.17</v>
      </c>
      <c r="F23" s="136"/>
      <c r="G23" s="136"/>
      <c r="H23" s="136">
        <v>7285.71</v>
      </c>
      <c r="I23" s="136">
        <v>1475.14</v>
      </c>
      <c r="J23" s="136">
        <v>16169.79</v>
      </c>
      <c r="K23" s="136">
        <f>E23+H23+I23+J23</f>
        <v>89609.81</v>
      </c>
      <c r="L23" s="136">
        <f>K23*80%</f>
        <v>71687.847999999998</v>
      </c>
      <c r="M23" s="136">
        <f>E23+H23+I23+J23+L23</f>
        <v>161297.658</v>
      </c>
      <c r="N23" s="136">
        <f>M23</f>
        <v>161297.658</v>
      </c>
      <c r="O23" s="174"/>
      <c r="S23" s="9"/>
    </row>
    <row r="24" spans="1:20" hidden="1">
      <c r="A24" s="7" t="s">
        <v>23</v>
      </c>
      <c r="B24" s="136">
        <v>1.39</v>
      </c>
      <c r="C24" s="136">
        <v>8723</v>
      </c>
      <c r="D24" s="136"/>
      <c r="E24" s="136">
        <v>12115.27</v>
      </c>
      <c r="F24" s="136"/>
      <c r="G24" s="136"/>
      <c r="H24" s="136">
        <v>1285.71</v>
      </c>
      <c r="I24" s="136">
        <v>484.61</v>
      </c>
      <c r="J24" s="136">
        <v>3028.83</v>
      </c>
      <c r="K24" s="136">
        <f>E24+H24+I24+J24</f>
        <v>16914.419999999998</v>
      </c>
      <c r="L24" s="136">
        <f>K24*80%</f>
        <v>13531.536</v>
      </c>
      <c r="M24" s="136">
        <f>E24+H24+I24+J24+L24</f>
        <v>30445.955999999998</v>
      </c>
      <c r="N24" s="136">
        <f>M24</f>
        <v>30445.955999999998</v>
      </c>
      <c r="O24" s="174"/>
      <c r="S24" s="9"/>
    </row>
    <row r="25" spans="1:20" hidden="1">
      <c r="A25" s="7" t="s">
        <v>23</v>
      </c>
      <c r="B25" s="136">
        <v>7.86</v>
      </c>
      <c r="C25" s="136">
        <v>7754</v>
      </c>
      <c r="D25" s="136"/>
      <c r="E25" s="136">
        <v>60955.06</v>
      </c>
      <c r="F25" s="136"/>
      <c r="G25" s="136"/>
      <c r="H25" s="136">
        <v>3714.29</v>
      </c>
      <c r="I25" s="136">
        <v>2358.5100000000002</v>
      </c>
      <c r="J25" s="136">
        <v>15238.76</v>
      </c>
      <c r="K25" s="136">
        <f>E25+H25+I25+J25</f>
        <v>82266.62</v>
      </c>
      <c r="L25" s="136">
        <f>K25*80%</f>
        <v>65813.296000000002</v>
      </c>
      <c r="M25" s="136">
        <f>E25+H25+I25+J25+L25</f>
        <v>148079.916</v>
      </c>
      <c r="N25" s="136">
        <f>M25</f>
        <v>148079.916</v>
      </c>
      <c r="O25" s="174"/>
      <c r="S25" s="9"/>
    </row>
    <row r="26" spans="1:20" hidden="1">
      <c r="A26" s="7" t="s">
        <v>23</v>
      </c>
      <c r="B26" s="1"/>
      <c r="C26" s="1"/>
      <c r="D26" s="1"/>
      <c r="E26" s="8"/>
      <c r="F26" s="8"/>
      <c r="G26" s="8"/>
      <c r="H26" s="8"/>
      <c r="I26" s="8"/>
      <c r="J26" s="8"/>
      <c r="K26" s="136">
        <f>E26+H26+I26+J26</f>
        <v>0</v>
      </c>
      <c r="L26" s="136">
        <f>K26*80%</f>
        <v>0</v>
      </c>
      <c r="M26" s="136">
        <f>E26+H26+I26+J26+L26</f>
        <v>0</v>
      </c>
      <c r="N26" s="136">
        <f>M26</f>
        <v>0</v>
      </c>
      <c r="O26" s="174"/>
      <c r="S26" s="9"/>
    </row>
    <row r="27" spans="1:20" hidden="1">
      <c r="A27" s="22" t="s">
        <v>15</v>
      </c>
      <c r="B27" s="23">
        <f>B26+B25+B24+B23</f>
        <v>17.170000000000002</v>
      </c>
      <c r="C27" s="23"/>
      <c r="D27" s="23"/>
      <c r="E27" s="16">
        <f>E26+E25+E24+E23</f>
        <v>137749.5</v>
      </c>
      <c r="F27" s="16">
        <f t="shared" ref="F27:L27" si="0">F26+F25+F24+F23</f>
        <v>0</v>
      </c>
      <c r="G27" s="16">
        <f t="shared" si="0"/>
        <v>0</v>
      </c>
      <c r="H27" s="16">
        <f t="shared" si="0"/>
        <v>12285.71</v>
      </c>
      <c r="I27" s="16">
        <f t="shared" si="0"/>
        <v>4318.26</v>
      </c>
      <c r="J27" s="16">
        <f t="shared" si="0"/>
        <v>34437.380000000005</v>
      </c>
      <c r="K27" s="16">
        <f t="shared" si="0"/>
        <v>188790.84999999998</v>
      </c>
      <c r="L27" s="16">
        <f t="shared" si="0"/>
        <v>151032.68</v>
      </c>
      <c r="M27" s="16">
        <f>M26+M25+M24+M23</f>
        <v>339823.53</v>
      </c>
      <c r="N27" s="16">
        <f>N26+N25+N24+N23</f>
        <v>339823.53</v>
      </c>
      <c r="O27" s="34"/>
      <c r="P27" s="34">
        <f>N27/70*30</f>
        <v>145638.65571428571</v>
      </c>
      <c r="Q27" s="9">
        <f>P27+N27</f>
        <v>485462.1857142857</v>
      </c>
      <c r="R27">
        <f>12*33748</f>
        <v>404976</v>
      </c>
      <c r="S27" s="109">
        <f>N27/70*30+N27</f>
        <v>485462.1857142857</v>
      </c>
      <c r="T27">
        <f>S27*100/E41</f>
        <v>76.99722853382309</v>
      </c>
    </row>
    <row r="28" spans="1:20" hidden="1">
      <c r="A28" s="586" t="s">
        <v>2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172"/>
      <c r="S28" s="9"/>
    </row>
    <row r="29" spans="1:20" hidden="1">
      <c r="A29" s="5" t="s">
        <v>3</v>
      </c>
      <c r="B29" s="1">
        <v>0.5</v>
      </c>
      <c r="C29" s="49">
        <v>2791</v>
      </c>
      <c r="D29" s="49"/>
      <c r="E29" s="49">
        <f>B29*C29</f>
        <v>1395.5</v>
      </c>
      <c r="F29" s="8"/>
      <c r="G29" s="8"/>
      <c r="H29" s="8"/>
      <c r="I29" s="8"/>
      <c r="J29" s="8">
        <f>E29*25%</f>
        <v>348.875</v>
      </c>
      <c r="K29" s="8">
        <f>J29+E29</f>
        <v>1744.375</v>
      </c>
      <c r="L29" s="8">
        <f>K29*80%</f>
        <v>1395.5</v>
      </c>
      <c r="M29" s="8">
        <f>L29+K29</f>
        <v>3139.875</v>
      </c>
      <c r="N29" s="8">
        <f>M29</f>
        <v>3139.875</v>
      </c>
      <c r="O29" s="171"/>
      <c r="S29" s="9"/>
    </row>
    <row r="30" spans="1:20" hidden="1">
      <c r="A30" s="24" t="s">
        <v>15</v>
      </c>
      <c r="B30" s="23">
        <f>SUM(B29:B29)</f>
        <v>0.5</v>
      </c>
      <c r="C30" s="51"/>
      <c r="D30" s="51"/>
      <c r="E30" s="51">
        <f>E29</f>
        <v>1395.5</v>
      </c>
      <c r="F30" s="16"/>
      <c r="G30" s="16"/>
      <c r="H30" s="16"/>
      <c r="I30" s="16"/>
      <c r="J30" s="16">
        <f>E30*25%</f>
        <v>348.875</v>
      </c>
      <c r="K30" s="16">
        <f>J30+E30</f>
        <v>1744.375</v>
      </c>
      <c r="L30" s="16">
        <f>K30*80%</f>
        <v>1395.5</v>
      </c>
      <c r="M30" s="16">
        <f>L30+K30</f>
        <v>3139.875</v>
      </c>
      <c r="N30" s="16">
        <f>SUM(N29)</f>
        <v>3139.875</v>
      </c>
      <c r="O30" s="110"/>
      <c r="P30" s="9">
        <f>N30/70*30</f>
        <v>1345.6607142857142</v>
      </c>
      <c r="Q30" s="9">
        <f>N30+P30</f>
        <v>4485.5357142857138</v>
      </c>
      <c r="S30" s="109">
        <f>N30/70*30+N30</f>
        <v>4485.5357142857138</v>
      </c>
    </row>
    <row r="31" spans="1:20" hidden="1">
      <c r="A31" s="585" t="s">
        <v>4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170"/>
      <c r="S31" s="9"/>
    </row>
    <row r="32" spans="1:20" ht="25.5" hidden="1">
      <c r="A32" s="25" t="s">
        <v>53</v>
      </c>
      <c r="B32" s="10">
        <v>3</v>
      </c>
      <c r="C32" s="50">
        <v>2429</v>
      </c>
      <c r="D32" s="50"/>
      <c r="E32" s="50">
        <f>B32*C32</f>
        <v>7287</v>
      </c>
      <c r="F32" s="20"/>
      <c r="G32" s="20"/>
      <c r="H32" s="20"/>
      <c r="I32" s="20"/>
      <c r="J32" s="20">
        <f>E32*25%</f>
        <v>1821.75</v>
      </c>
      <c r="K32" s="20">
        <f>SUM(E32:J32)</f>
        <v>9108.75</v>
      </c>
      <c r="L32" s="20">
        <f>K32*80%</f>
        <v>7287</v>
      </c>
      <c r="M32" s="20">
        <f>L32+K32</f>
        <v>16395.75</v>
      </c>
      <c r="N32" s="20">
        <f>M32</f>
        <v>16395.75</v>
      </c>
      <c r="O32" s="173"/>
      <c r="S32" s="9"/>
    </row>
    <row r="33" spans="1:19" hidden="1">
      <c r="A33" s="5" t="s">
        <v>38</v>
      </c>
      <c r="B33" s="1">
        <v>2</v>
      </c>
      <c r="C33" s="49">
        <v>2302</v>
      </c>
      <c r="D33" s="49"/>
      <c r="E33" s="49">
        <v>4134</v>
      </c>
      <c r="F33" s="8">
        <f>C33/165.5*61*35%*B33</f>
        <v>593.92990936555884</v>
      </c>
      <c r="G33" s="8">
        <f>C33*12/1986*288/12*B33</f>
        <v>667.64954682779455</v>
      </c>
      <c r="H33" s="8"/>
      <c r="I33" s="8"/>
      <c r="J33" s="8">
        <f>(E33+F33+G33)*25%</f>
        <v>1348.8948640483384</v>
      </c>
      <c r="K33" s="8">
        <f>SUM(E33:J33)</f>
        <v>6744.4743202416921</v>
      </c>
      <c r="L33" s="8">
        <f>K33*80%</f>
        <v>5395.5794561933544</v>
      </c>
      <c r="M33" s="8">
        <f>L33+K33</f>
        <v>12140.053776435047</v>
      </c>
      <c r="N33" s="20">
        <f>M33</f>
        <v>12140.053776435047</v>
      </c>
      <c r="O33" s="173"/>
      <c r="S33" s="9"/>
    </row>
    <row r="34" spans="1:19" hidden="1">
      <c r="A34" s="5" t="s">
        <v>54</v>
      </c>
      <c r="B34" s="1">
        <v>4</v>
      </c>
      <c r="C34" s="49">
        <v>2791</v>
      </c>
      <c r="D34" s="49"/>
      <c r="E34" s="49">
        <v>9504</v>
      </c>
      <c r="F34" s="8">
        <f>C34/165.5*61*35%*B34</f>
        <v>1440.1897280966768</v>
      </c>
      <c r="G34" s="8">
        <f>C34*12/1986*288/12*B34</f>
        <v>1618.9486404833835</v>
      </c>
      <c r="H34" s="8"/>
      <c r="I34" s="8"/>
      <c r="J34" s="8">
        <f>(E34+F34+G34)*25%</f>
        <v>3140.7845921450153</v>
      </c>
      <c r="K34" s="8">
        <f>SUM(E34:J34)</f>
        <v>15703.922960725076</v>
      </c>
      <c r="L34" s="8">
        <f>K34*80%</f>
        <v>12563.138368580061</v>
      </c>
      <c r="M34" s="8">
        <f>L34+K34</f>
        <v>28267.061329305136</v>
      </c>
      <c r="N34" s="20">
        <f>M34</f>
        <v>28267.061329305136</v>
      </c>
      <c r="O34" s="173"/>
      <c r="S34" s="9"/>
    </row>
    <row r="35" spans="1:19" ht="24" hidden="1" customHeight="1">
      <c r="A35" s="26" t="s">
        <v>39</v>
      </c>
      <c r="B35" s="10">
        <v>0.5</v>
      </c>
      <c r="C35" s="50">
        <v>2692</v>
      </c>
      <c r="D35" s="50"/>
      <c r="E35" s="50">
        <v>1146</v>
      </c>
      <c r="F35" s="20"/>
      <c r="G35" s="20"/>
      <c r="H35" s="20"/>
      <c r="I35" s="20"/>
      <c r="J35" s="20">
        <f>(E35+F35+G35)*25%</f>
        <v>286.5</v>
      </c>
      <c r="K35" s="20">
        <f>SUM(E35:J35)</f>
        <v>1432.5</v>
      </c>
      <c r="L35" s="20">
        <f>K35*80%</f>
        <v>1146</v>
      </c>
      <c r="M35" s="20">
        <f>L35+K35</f>
        <v>2578.5</v>
      </c>
      <c r="N35" s="20">
        <f>M35</f>
        <v>2578.5</v>
      </c>
      <c r="O35" s="173"/>
      <c r="S35" s="9"/>
    </row>
    <row r="36" spans="1:19" hidden="1">
      <c r="A36" s="27" t="s">
        <v>15</v>
      </c>
      <c r="B36" s="28">
        <f>SUM(B32:B35)</f>
        <v>9.5</v>
      </c>
      <c r="C36" s="28"/>
      <c r="D36" s="28"/>
      <c r="E36" s="52">
        <f>SUM(E32:E35)</f>
        <v>22071</v>
      </c>
      <c r="F36" s="29">
        <f>SUM(F32:F35)</f>
        <v>2034.1196374622357</v>
      </c>
      <c r="G36" s="29">
        <f>SUM(G32:G35)</f>
        <v>2286.5981873111782</v>
      </c>
      <c r="H36" s="29"/>
      <c r="I36" s="29"/>
      <c r="J36" s="29">
        <f>SUM(J32:J35)</f>
        <v>6597.9294561933539</v>
      </c>
      <c r="K36" s="29">
        <f>SUM(K32:K35)</f>
        <v>32989.647280966768</v>
      </c>
      <c r="L36" s="29">
        <f>K36*80%</f>
        <v>26391.717824773415</v>
      </c>
      <c r="M36" s="29">
        <f>L36+K36</f>
        <v>59381.365105740188</v>
      </c>
      <c r="N36" s="29">
        <f>SUM(N32:N35)</f>
        <v>59381.36510574018</v>
      </c>
      <c r="O36" s="175"/>
      <c r="P36" s="9">
        <f>N36/70*30</f>
        <v>25449.156473888648</v>
      </c>
      <c r="Q36" s="9">
        <f>N36+P36</f>
        <v>84830.521579628825</v>
      </c>
      <c r="S36" s="109">
        <f>N36/70*30+N36</f>
        <v>84830.521579628825</v>
      </c>
    </row>
    <row r="37" spans="1:19" hidden="1">
      <c r="A37" s="30" t="s">
        <v>5</v>
      </c>
      <c r="B37" s="1">
        <f>B21+B27+B30+B36</f>
        <v>29.67</v>
      </c>
      <c r="C37" s="1"/>
      <c r="D37" s="1"/>
      <c r="E37" s="8">
        <f>E36+E30+E27+E21</f>
        <v>178549.5</v>
      </c>
      <c r="F37" s="8">
        <f>F36</f>
        <v>2034.1196374622357</v>
      </c>
      <c r="G37" s="8">
        <f>G36+G30+G27+G21</f>
        <v>2286.5981873111782</v>
      </c>
      <c r="H37" s="8">
        <f>H27</f>
        <v>12285.71</v>
      </c>
      <c r="I37" s="8">
        <f>I27</f>
        <v>4318.26</v>
      </c>
      <c r="J37" s="8">
        <f>J36+J30+J27+J21</f>
        <v>45717.559456193361</v>
      </c>
      <c r="K37" s="8">
        <f>K36+K30+K27+K21</f>
        <v>245191.74728096675</v>
      </c>
      <c r="L37" s="8">
        <f>L36+L30+L27+L21</f>
        <v>196153.39782477342</v>
      </c>
      <c r="M37" s="8">
        <f>M36+M30+M27+M21</f>
        <v>441345.14510574023</v>
      </c>
      <c r="N37" s="8">
        <f>N36+N30+N27+N21</f>
        <v>441345.14510574023</v>
      </c>
      <c r="O37" s="171"/>
      <c r="Q37" s="9">
        <f>Q36+Q30+Q27+Q21</f>
        <v>630493.06443677167</v>
      </c>
      <c r="S37" s="9">
        <f>SUM(S21:S36)</f>
        <v>630493.06443677167</v>
      </c>
    </row>
    <row r="38" spans="1:19" hidden="1">
      <c r="A38" s="66" t="s">
        <v>95</v>
      </c>
      <c r="F38" s="587"/>
      <c r="G38" s="587"/>
      <c r="H38" s="587"/>
      <c r="I38" s="587"/>
      <c r="J38" s="587"/>
      <c r="K38" s="67"/>
      <c r="M38" s="2"/>
      <c r="N38" s="19"/>
      <c r="O38" s="19"/>
    </row>
    <row r="39" spans="1:19" hidden="1">
      <c r="A39" t="s">
        <v>93</v>
      </c>
      <c r="B39" s="14"/>
      <c r="C39" s="14"/>
      <c r="D39" s="14"/>
      <c r="E39" s="15">
        <f>N37</f>
        <v>441345.14510574023</v>
      </c>
      <c r="H39" s="32"/>
      <c r="I39" s="32"/>
      <c r="J39" s="9"/>
      <c r="K39" s="9"/>
    </row>
    <row r="40" spans="1:19" hidden="1">
      <c r="A40" t="s">
        <v>94</v>
      </c>
      <c r="B40" s="14"/>
      <c r="C40" s="14"/>
      <c r="D40" s="14"/>
      <c r="E40" s="15">
        <f>E39/70*30</f>
        <v>189147.91933103153</v>
      </c>
      <c r="H40" s="33"/>
      <c r="I40" s="32"/>
      <c r="J40" s="9"/>
    </row>
    <row r="41" spans="1:19" hidden="1">
      <c r="A41" t="s">
        <v>32</v>
      </c>
      <c r="B41" s="14"/>
      <c r="C41" s="14"/>
      <c r="D41" s="14"/>
      <c r="E41" s="15">
        <f>SUM(E39:E40)</f>
        <v>630493.06443677179</v>
      </c>
      <c r="H41" s="32"/>
      <c r="I41" s="32"/>
      <c r="J41" s="9"/>
      <c r="K41" s="9"/>
    </row>
    <row r="42" spans="1:19" hidden="1">
      <c r="A42" s="3"/>
      <c r="H42" s="33"/>
      <c r="I42" s="32"/>
      <c r="J42" s="9"/>
    </row>
    <row r="43" spans="1:19" hidden="1"/>
    <row r="44" spans="1:19" ht="15" hidden="1">
      <c r="A44" s="6" t="s">
        <v>25</v>
      </c>
      <c r="B44" s="6"/>
      <c r="C44" s="6"/>
      <c r="D44" s="6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9" hidden="1">
      <c r="A45" t="s">
        <v>62</v>
      </c>
      <c r="B45" s="6"/>
      <c r="C45" s="6"/>
      <c r="D45" s="6"/>
      <c r="F45" t="s">
        <v>67</v>
      </c>
      <c r="G45" t="s">
        <v>61</v>
      </c>
    </row>
    <row r="46" spans="1:19" hidden="1"/>
    <row r="47" spans="1:19" hidden="1"/>
    <row r="48" spans="1:19" hidden="1">
      <c r="C48" t="s">
        <v>133</v>
      </c>
      <c r="E48" s="9">
        <f>E37</f>
        <v>178549.5</v>
      </c>
      <c r="F48">
        <f>E48*9.85</f>
        <v>1758712.575</v>
      </c>
    </row>
    <row r="49" spans="3:6" hidden="1">
      <c r="C49" t="s">
        <v>132</v>
      </c>
      <c r="E49" s="9">
        <f>E39-E48</f>
        <v>262795.64510574023</v>
      </c>
      <c r="F49">
        <f>E49*9.85</f>
        <v>2588537.104291541</v>
      </c>
    </row>
    <row r="50" spans="3:6" hidden="1">
      <c r="C50" t="s">
        <v>134</v>
      </c>
      <c r="E50" s="9">
        <f>E40</f>
        <v>189147.91933103153</v>
      </c>
      <c r="F50">
        <f>E50*9.85+3674</f>
        <v>1866781.0054106605</v>
      </c>
    </row>
    <row r="51" spans="3:6" hidden="1">
      <c r="E51" s="9">
        <f>SUM(E48:E50)</f>
        <v>630493.06443677179</v>
      </c>
      <c r="F51">
        <f>SUM(F48:F50)</f>
        <v>6214030.6847022008</v>
      </c>
    </row>
    <row r="52" spans="3:6" hidden="1"/>
    <row r="53" spans="3:6" hidden="1">
      <c r="E53">
        <v>6190000</v>
      </c>
      <c r="F53">
        <f>E53-F51</f>
        <v>-24030.684702200815</v>
      </c>
    </row>
    <row r="54" spans="3:6" hidden="1">
      <c r="E54">
        <f>E53/E51</f>
        <v>9.8177130711653628</v>
      </c>
    </row>
    <row r="55" spans="3:6" hidden="1"/>
    <row r="56" spans="3:6" hidden="1"/>
    <row r="57" spans="3:6" hidden="1"/>
    <row r="58" spans="3:6" hidden="1"/>
    <row r="59" spans="3:6" hidden="1"/>
    <row r="60" spans="3:6" hidden="1"/>
    <row r="61" spans="3:6" hidden="1"/>
    <row r="62" spans="3:6" hidden="1"/>
    <row r="63" spans="3:6" hidden="1"/>
    <row r="64" spans="3:6" hidden="1"/>
    <row r="65" spans="1:15" ht="15.75" hidden="1">
      <c r="A65" s="113" t="s">
        <v>120</v>
      </c>
      <c r="B65" s="113"/>
      <c r="C65" s="113"/>
      <c r="D65" s="113"/>
      <c r="E65" s="113"/>
      <c r="F65" s="114"/>
      <c r="G65" s="114"/>
      <c r="H65" s="114"/>
      <c r="I65" s="114"/>
      <c r="J65" s="115"/>
      <c r="K65" s="449" t="s">
        <v>109</v>
      </c>
      <c r="L65" s="449"/>
      <c r="M65" s="449"/>
    </row>
    <row r="66" spans="1:15" ht="15.75" hidden="1">
      <c r="A66" s="113" t="s">
        <v>121</v>
      </c>
      <c r="B66" s="113"/>
      <c r="C66" s="113"/>
      <c r="D66" s="113"/>
      <c r="E66" s="113"/>
      <c r="F66" s="114"/>
      <c r="G66" s="114"/>
      <c r="H66" s="114"/>
      <c r="I66" s="114"/>
      <c r="J66" s="116"/>
      <c r="K66" s="449"/>
      <c r="L66" s="449"/>
      <c r="M66" s="449"/>
    </row>
    <row r="67" spans="1:15" ht="15.75" hidden="1">
      <c r="A67" s="113"/>
      <c r="B67" s="113"/>
      <c r="C67" s="113"/>
      <c r="D67" s="113"/>
      <c r="E67" s="113"/>
      <c r="F67" s="114"/>
      <c r="G67" s="114"/>
      <c r="H67" s="114"/>
      <c r="I67" s="114"/>
      <c r="J67" s="116"/>
      <c r="K67" s="116"/>
      <c r="L67" s="116"/>
      <c r="M67" s="117" t="s">
        <v>110</v>
      </c>
    </row>
    <row r="68" spans="1:15" ht="15.75" hidden="1">
      <c r="A68" s="113" t="s">
        <v>122</v>
      </c>
      <c r="B68" s="113"/>
      <c r="C68" s="113"/>
      <c r="D68" s="113"/>
      <c r="E68" s="113"/>
      <c r="F68" s="114"/>
      <c r="G68" s="114"/>
      <c r="H68" s="114"/>
      <c r="I68" s="114"/>
      <c r="J68" s="118"/>
      <c r="K68" s="450" t="s">
        <v>111</v>
      </c>
      <c r="L68" s="451"/>
      <c r="M68" s="119">
        <v>301017</v>
      </c>
    </row>
    <row r="69" spans="1:15" ht="18.75" hidden="1">
      <c r="A69" s="113"/>
      <c r="B69" s="452" t="s">
        <v>126</v>
      </c>
      <c r="C69" s="452"/>
      <c r="D69" s="452"/>
      <c r="E69" s="452"/>
      <c r="F69" s="452"/>
      <c r="G69" s="452"/>
      <c r="H69" s="452"/>
      <c r="I69" s="452"/>
      <c r="J69" s="452"/>
      <c r="K69" s="115"/>
      <c r="L69" s="120" t="s">
        <v>112</v>
      </c>
      <c r="M69" s="121"/>
    </row>
    <row r="70" spans="1:15" ht="15.75" hidden="1">
      <c r="A70" s="113"/>
      <c r="B70" s="113"/>
      <c r="C70" s="113"/>
      <c r="D70" s="113"/>
      <c r="E70" s="122" t="s">
        <v>113</v>
      </c>
      <c r="F70" s="453" t="s">
        <v>114</v>
      </c>
      <c r="G70" s="453"/>
      <c r="H70" s="114"/>
      <c r="I70" s="114"/>
      <c r="J70" s="454" t="s">
        <v>115</v>
      </c>
      <c r="K70" s="454"/>
      <c r="L70" s="454"/>
      <c r="M70" s="454"/>
    </row>
    <row r="71" spans="1:15" ht="15.75" hidden="1">
      <c r="A71" s="558" t="s">
        <v>116</v>
      </c>
      <c r="B71" s="558"/>
      <c r="C71" s="559"/>
      <c r="D71" s="164"/>
      <c r="E71" s="123"/>
      <c r="F71" s="578" t="s">
        <v>139</v>
      </c>
      <c r="G71" s="578"/>
      <c r="H71" s="114"/>
      <c r="I71" s="114"/>
      <c r="J71" s="115" t="s">
        <v>117</v>
      </c>
      <c r="K71" s="115"/>
      <c r="L71" s="115"/>
      <c r="M71" s="115"/>
    </row>
    <row r="72" spans="1:15" ht="15.75" hidden="1">
      <c r="A72" s="462" t="s">
        <v>140</v>
      </c>
      <c r="B72" s="462"/>
      <c r="C72" s="462"/>
      <c r="D72" s="462"/>
      <c r="E72" s="462"/>
      <c r="F72" s="462"/>
      <c r="G72" s="462"/>
      <c r="H72" s="114"/>
      <c r="I72" s="114"/>
      <c r="J72" s="115" t="s">
        <v>118</v>
      </c>
      <c r="K72" s="115"/>
      <c r="L72" s="124">
        <f>B101</f>
        <v>29.67</v>
      </c>
      <c r="M72" s="115" t="s">
        <v>119</v>
      </c>
    </row>
    <row r="73" spans="1:15" ht="15.75" hidden="1">
      <c r="A73" s="125"/>
      <c r="B73" s="126"/>
      <c r="C73" s="126"/>
      <c r="D73" s="126"/>
      <c r="E73" s="126"/>
      <c r="F73" s="126"/>
      <c r="G73" s="126"/>
      <c r="H73" s="126"/>
      <c r="I73" s="126"/>
      <c r="J73" s="127" t="s">
        <v>127</v>
      </c>
      <c r="K73" s="127"/>
      <c r="L73" s="127"/>
      <c r="M73" s="127"/>
      <c r="N73" s="128"/>
      <c r="O73" s="128"/>
    </row>
    <row r="74" spans="1:15" hidden="1"/>
    <row r="75" spans="1:15" ht="18" hidden="1">
      <c r="A75" s="577" t="s">
        <v>7</v>
      </c>
      <c r="B75" s="577"/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168"/>
    </row>
    <row r="76" spans="1:15" hidden="1"/>
    <row r="77" spans="1:15" ht="15.75" hidden="1">
      <c r="A77" s="576" t="s">
        <v>146</v>
      </c>
      <c r="B77" s="576"/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31"/>
    </row>
    <row r="78" spans="1:15" hidden="1">
      <c r="B78" s="477" t="s">
        <v>147</v>
      </c>
      <c r="C78" s="477"/>
      <c r="D78" s="477"/>
      <c r="E78" s="477"/>
      <c r="F78" s="477"/>
      <c r="G78" s="477"/>
      <c r="H78" s="477"/>
      <c r="I78" s="477"/>
      <c r="J78" s="477"/>
      <c r="K78" s="477"/>
      <c r="L78" s="477"/>
      <c r="M78" s="477"/>
    </row>
    <row r="79" spans="1:15" hidden="1">
      <c r="A79" s="1" t="s">
        <v>8</v>
      </c>
      <c r="B79" s="584" t="s">
        <v>10</v>
      </c>
      <c r="C79" s="583" t="s">
        <v>70</v>
      </c>
      <c r="D79" s="414"/>
      <c r="E79" s="579" t="s">
        <v>71</v>
      </c>
      <c r="F79" s="582" t="s">
        <v>97</v>
      </c>
      <c r="G79" s="582"/>
      <c r="H79" s="582"/>
      <c r="I79" s="582"/>
      <c r="J79" s="582"/>
      <c r="K79" s="582"/>
      <c r="L79" s="582"/>
      <c r="M79" s="582"/>
      <c r="N79" s="580" t="s">
        <v>97</v>
      </c>
      <c r="O79" s="169"/>
    </row>
    <row r="80" spans="1:15" ht="25.5" hidden="1">
      <c r="A80" s="1" t="s">
        <v>9</v>
      </c>
      <c r="B80" s="584"/>
      <c r="C80" s="583"/>
      <c r="D80" s="414"/>
      <c r="E80" s="579"/>
      <c r="F80" s="13" t="s">
        <v>16</v>
      </c>
      <c r="G80" s="13" t="s">
        <v>17</v>
      </c>
      <c r="H80" s="13" t="s">
        <v>59</v>
      </c>
      <c r="I80" s="13" t="s">
        <v>41</v>
      </c>
      <c r="J80" s="13" t="s">
        <v>42</v>
      </c>
      <c r="K80" s="13" t="s">
        <v>45</v>
      </c>
      <c r="L80" s="13" t="s">
        <v>52</v>
      </c>
      <c r="M80" s="13" t="s">
        <v>44</v>
      </c>
      <c r="N80" s="581"/>
      <c r="O80" s="169"/>
    </row>
    <row r="81" spans="1:20" hidden="1">
      <c r="A81" s="585" t="s">
        <v>18</v>
      </c>
      <c r="B81" s="585"/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585"/>
      <c r="O81" s="170"/>
    </row>
    <row r="82" spans="1:20" hidden="1">
      <c r="A82" s="21" t="s">
        <v>19</v>
      </c>
      <c r="B82" s="1">
        <v>1</v>
      </c>
      <c r="C82" s="49">
        <v>7879</v>
      </c>
      <c r="D82" s="49"/>
      <c r="E82" s="49">
        <f>B82*C82</f>
        <v>7879</v>
      </c>
      <c r="F82" s="8"/>
      <c r="G82" s="8"/>
      <c r="H82" s="8"/>
      <c r="I82" s="8"/>
      <c r="J82" s="8">
        <f>E82*25%</f>
        <v>1969.75</v>
      </c>
      <c r="K82" s="8">
        <f>J82+E82</f>
        <v>9848.75</v>
      </c>
      <c r="L82" s="8">
        <f>K82*80%</f>
        <v>7879</v>
      </c>
      <c r="M82" s="8">
        <f>L82+K82</f>
        <v>17727.75</v>
      </c>
      <c r="N82" s="8">
        <f>M82</f>
        <v>17727.75</v>
      </c>
      <c r="O82" s="171"/>
    </row>
    <row r="83" spans="1:20" hidden="1">
      <c r="A83" s="21" t="s">
        <v>20</v>
      </c>
      <c r="B83" s="1">
        <v>1</v>
      </c>
      <c r="C83" s="49">
        <v>6303</v>
      </c>
      <c r="D83" s="49"/>
      <c r="E83" s="49">
        <f>B83*C83</f>
        <v>6303</v>
      </c>
      <c r="F83" s="8"/>
      <c r="G83" s="8"/>
      <c r="H83" s="8"/>
      <c r="I83" s="8"/>
      <c r="J83" s="8">
        <f>E83*25%</f>
        <v>1575.75</v>
      </c>
      <c r="K83" s="8">
        <f>J83+E83</f>
        <v>7878.75</v>
      </c>
      <c r="L83" s="8">
        <f>K83*80%</f>
        <v>6303</v>
      </c>
      <c r="M83" s="8">
        <f>L83+K83</f>
        <v>14181.75</v>
      </c>
      <c r="N83" s="8">
        <f>M83</f>
        <v>14181.75</v>
      </c>
      <c r="O83" s="171"/>
    </row>
    <row r="84" spans="1:20" hidden="1">
      <c r="A84" s="21" t="s">
        <v>21</v>
      </c>
      <c r="B84" s="1">
        <v>0.5</v>
      </c>
      <c r="C84" s="49">
        <v>6303</v>
      </c>
      <c r="D84" s="49"/>
      <c r="E84" s="49">
        <f>B84*C84</f>
        <v>3151.5</v>
      </c>
      <c r="F84" s="8"/>
      <c r="G84" s="8"/>
      <c r="H84" s="8"/>
      <c r="I84" s="8"/>
      <c r="J84" s="8">
        <f>E84*25%</f>
        <v>787.875</v>
      </c>
      <c r="K84" s="8">
        <f>J84+E84</f>
        <v>3939.375</v>
      </c>
      <c r="L84" s="8">
        <f>K84*80%</f>
        <v>3151.5</v>
      </c>
      <c r="M84" s="8">
        <f>L84+K84</f>
        <v>7090.875</v>
      </c>
      <c r="N84" s="8">
        <f>M84</f>
        <v>7090.875</v>
      </c>
      <c r="O84" s="171"/>
    </row>
    <row r="85" spans="1:20" hidden="1">
      <c r="A85" s="22" t="s">
        <v>15</v>
      </c>
      <c r="B85" s="23">
        <f>SUM(B82:B84)</f>
        <v>2.5</v>
      </c>
      <c r="C85" s="51"/>
      <c r="D85" s="51"/>
      <c r="E85" s="51">
        <f>SUM(E82:E84)</f>
        <v>17333.5</v>
      </c>
      <c r="F85" s="16"/>
      <c r="G85" s="16"/>
      <c r="H85" s="16"/>
      <c r="I85" s="16"/>
      <c r="J85" s="16">
        <f>SUM(J82:J84)</f>
        <v>4333.375</v>
      </c>
      <c r="K85" s="16">
        <f>SUM(K82:K84)</f>
        <v>21666.875</v>
      </c>
      <c r="L85" s="16">
        <f>SUM(L82:L84)</f>
        <v>17333.5</v>
      </c>
      <c r="M85" s="16">
        <f>SUM(M82:M84)</f>
        <v>39000.375</v>
      </c>
      <c r="N85" s="16">
        <f>SUM(N82:N84)</f>
        <v>39000.375</v>
      </c>
      <c r="O85" s="34"/>
      <c r="P85" s="34">
        <f>N85/70*30</f>
        <v>16714.446428571428</v>
      </c>
      <c r="Q85" s="9">
        <f>P85+N85</f>
        <v>55714.821428571428</v>
      </c>
      <c r="S85" s="109">
        <f>N85/70*30+N85</f>
        <v>55714.821428571428</v>
      </c>
    </row>
    <row r="86" spans="1:20" hidden="1">
      <c r="A86" s="586" t="s">
        <v>22</v>
      </c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172"/>
      <c r="S86" s="9"/>
    </row>
    <row r="87" spans="1:20" hidden="1">
      <c r="A87" s="7" t="s">
        <v>23</v>
      </c>
      <c r="B87" s="136">
        <v>7.92</v>
      </c>
      <c r="C87" s="136">
        <v>8170</v>
      </c>
      <c r="D87" s="136"/>
      <c r="E87" s="136">
        <v>64679.17</v>
      </c>
      <c r="F87" s="136"/>
      <c r="G87" s="136"/>
      <c r="H87" s="136">
        <v>7285.71</v>
      </c>
      <c r="I87" s="136">
        <v>1475.14</v>
      </c>
      <c r="J87" s="136">
        <v>16169.79</v>
      </c>
      <c r="K87" s="136">
        <f>E87+H87+I87+J87</f>
        <v>89609.81</v>
      </c>
      <c r="L87" s="136">
        <f>K87*80%</f>
        <v>71687.847999999998</v>
      </c>
      <c r="M87" s="136">
        <f>E87+H87+I87+J87+L87</f>
        <v>161297.658</v>
      </c>
      <c r="N87" s="136">
        <f>M87</f>
        <v>161297.658</v>
      </c>
      <c r="O87" s="174"/>
      <c r="S87" s="9"/>
    </row>
    <row r="88" spans="1:20" hidden="1">
      <c r="A88" s="7" t="s">
        <v>23</v>
      </c>
      <c r="B88" s="136">
        <v>1.39</v>
      </c>
      <c r="C88" s="136">
        <v>8723</v>
      </c>
      <c r="D88" s="136"/>
      <c r="E88" s="136">
        <v>12115.27</v>
      </c>
      <c r="F88" s="136"/>
      <c r="G88" s="136"/>
      <c r="H88" s="136">
        <v>1285.71</v>
      </c>
      <c r="I88" s="136">
        <v>484.61</v>
      </c>
      <c r="J88" s="136">
        <v>3028.83</v>
      </c>
      <c r="K88" s="136">
        <f>E88+H88+I88+J88</f>
        <v>16914.419999999998</v>
      </c>
      <c r="L88" s="136">
        <f>K88*80%</f>
        <v>13531.536</v>
      </c>
      <c r="M88" s="136">
        <f>E88+H88+I88+J88+L88</f>
        <v>30445.955999999998</v>
      </c>
      <c r="N88" s="136">
        <f>M88</f>
        <v>30445.955999999998</v>
      </c>
      <c r="O88" s="174"/>
      <c r="S88" s="9"/>
    </row>
    <row r="89" spans="1:20" hidden="1">
      <c r="A89" s="7" t="s">
        <v>23</v>
      </c>
      <c r="B89" s="136">
        <v>7.86</v>
      </c>
      <c r="C89" s="136">
        <v>7754</v>
      </c>
      <c r="D89" s="136"/>
      <c r="E89" s="136">
        <v>60955.06</v>
      </c>
      <c r="F89" s="136"/>
      <c r="G89" s="136"/>
      <c r="H89" s="136">
        <v>3714.29</v>
      </c>
      <c r="I89" s="136">
        <v>2358.5100000000002</v>
      </c>
      <c r="J89" s="136">
        <v>15238.76</v>
      </c>
      <c r="K89" s="136">
        <f>E89+H89+I89+J89</f>
        <v>82266.62</v>
      </c>
      <c r="L89" s="136">
        <f>K89*80%</f>
        <v>65813.296000000002</v>
      </c>
      <c r="M89" s="136">
        <f>E89+H89+I89+J89+L89</f>
        <v>148079.916</v>
      </c>
      <c r="N89" s="136">
        <f>M89</f>
        <v>148079.916</v>
      </c>
      <c r="O89" s="174"/>
      <c r="S89" s="9"/>
    </row>
    <row r="90" spans="1:20" hidden="1">
      <c r="A90" s="7" t="s">
        <v>23</v>
      </c>
      <c r="B90" s="1"/>
      <c r="C90" s="1"/>
      <c r="D90" s="1"/>
      <c r="E90" s="8"/>
      <c r="F90" s="8"/>
      <c r="G90" s="8"/>
      <c r="H90" s="8"/>
      <c r="I90" s="8"/>
      <c r="J90" s="8"/>
      <c r="K90" s="136">
        <f>E90+H90+I90+J90</f>
        <v>0</v>
      </c>
      <c r="L90" s="136">
        <f>K90*80%</f>
        <v>0</v>
      </c>
      <c r="M90" s="136">
        <f>E90+H90+I90+J90+L90</f>
        <v>0</v>
      </c>
      <c r="N90" s="136">
        <f>M90</f>
        <v>0</v>
      </c>
      <c r="O90" s="174"/>
      <c r="S90" s="9"/>
    </row>
    <row r="91" spans="1:20" hidden="1">
      <c r="A91" s="22" t="s">
        <v>15</v>
      </c>
      <c r="B91" s="23">
        <f>B90+B89+B88+B87</f>
        <v>17.170000000000002</v>
      </c>
      <c r="C91" s="23"/>
      <c r="D91" s="23"/>
      <c r="E91" s="16">
        <f>E90+E89+E88+E87</f>
        <v>137749.5</v>
      </c>
      <c r="F91" s="16">
        <f t="shared" ref="F91:L91" si="1">F90+F89+F88+F87</f>
        <v>0</v>
      </c>
      <c r="G91" s="16">
        <f t="shared" si="1"/>
        <v>0</v>
      </c>
      <c r="H91" s="16">
        <f t="shared" si="1"/>
        <v>12285.71</v>
      </c>
      <c r="I91" s="16">
        <f t="shared" si="1"/>
        <v>4318.26</v>
      </c>
      <c r="J91" s="16">
        <f t="shared" si="1"/>
        <v>34437.380000000005</v>
      </c>
      <c r="K91" s="16">
        <f t="shared" si="1"/>
        <v>188790.84999999998</v>
      </c>
      <c r="L91" s="16">
        <f t="shared" si="1"/>
        <v>151032.68</v>
      </c>
      <c r="M91" s="16">
        <f>M90+M89+M88+M87</f>
        <v>339823.53</v>
      </c>
      <c r="N91" s="16">
        <f>N90+N89+N88+N87</f>
        <v>339823.53</v>
      </c>
      <c r="O91" s="34"/>
      <c r="P91" s="34">
        <f>N91/70*30</f>
        <v>145638.65571428571</v>
      </c>
      <c r="Q91" s="9">
        <f>P91+N91</f>
        <v>485462.1857142857</v>
      </c>
      <c r="R91">
        <f>12*33748</f>
        <v>404976</v>
      </c>
      <c r="S91" s="109">
        <f>N91/70*30+N91</f>
        <v>485462.1857142857</v>
      </c>
      <c r="T91">
        <f>S91*100/E105</f>
        <v>76.99722853382309</v>
      </c>
    </row>
    <row r="92" spans="1:20" hidden="1">
      <c r="A92" s="586" t="s">
        <v>2</v>
      </c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172"/>
      <c r="S92" s="9"/>
    </row>
    <row r="93" spans="1:20" hidden="1">
      <c r="A93" s="5" t="s">
        <v>3</v>
      </c>
      <c r="B93" s="1">
        <v>0.5</v>
      </c>
      <c r="C93" s="49">
        <v>2791</v>
      </c>
      <c r="D93" s="49"/>
      <c r="E93" s="49">
        <f>B93*C93</f>
        <v>1395.5</v>
      </c>
      <c r="F93" s="8"/>
      <c r="G93" s="8"/>
      <c r="H93" s="8"/>
      <c r="I93" s="8"/>
      <c r="J93" s="8">
        <f>E93*25%</f>
        <v>348.875</v>
      </c>
      <c r="K93" s="8">
        <f>J93+E93</f>
        <v>1744.375</v>
      </c>
      <c r="L93" s="8">
        <f>K93*80%</f>
        <v>1395.5</v>
      </c>
      <c r="M93" s="8">
        <f>L93+K93</f>
        <v>3139.875</v>
      </c>
      <c r="N93" s="8">
        <f>M93</f>
        <v>3139.875</v>
      </c>
      <c r="O93" s="171"/>
      <c r="S93" s="9"/>
    </row>
    <row r="94" spans="1:20" hidden="1">
      <c r="A94" s="24" t="s">
        <v>15</v>
      </c>
      <c r="B94" s="23">
        <f>SUM(B93:B93)</f>
        <v>0.5</v>
      </c>
      <c r="C94" s="51"/>
      <c r="D94" s="51"/>
      <c r="E94" s="51">
        <f>E93</f>
        <v>1395.5</v>
      </c>
      <c r="F94" s="16"/>
      <c r="G94" s="16"/>
      <c r="H94" s="16"/>
      <c r="I94" s="16"/>
      <c r="J94" s="16">
        <f>E94*25%</f>
        <v>348.875</v>
      </c>
      <c r="K94" s="16">
        <f>J94+E94</f>
        <v>1744.375</v>
      </c>
      <c r="L94" s="16">
        <f>K94*80%</f>
        <v>1395.5</v>
      </c>
      <c r="M94" s="16">
        <f>L94+K94</f>
        <v>3139.875</v>
      </c>
      <c r="N94" s="16">
        <f>SUM(N93)</f>
        <v>3139.875</v>
      </c>
      <c r="O94" s="110"/>
      <c r="P94" s="9">
        <f>N94/70*30</f>
        <v>1345.6607142857142</v>
      </c>
      <c r="Q94" s="9">
        <f>N94+P94</f>
        <v>4485.5357142857138</v>
      </c>
      <c r="S94" s="109">
        <f>N94/70*30+N94</f>
        <v>4485.5357142857138</v>
      </c>
    </row>
    <row r="95" spans="1:20" hidden="1">
      <c r="A95" s="585" t="s">
        <v>4</v>
      </c>
      <c r="B95" s="585"/>
      <c r="C95" s="585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170"/>
      <c r="S95" s="9"/>
    </row>
    <row r="96" spans="1:20" ht="25.5" hidden="1">
      <c r="A96" s="25" t="s">
        <v>53</v>
      </c>
      <c r="B96" s="10">
        <v>3</v>
      </c>
      <c r="C96" s="50">
        <v>2429</v>
      </c>
      <c r="D96" s="50"/>
      <c r="E96" s="50">
        <f>B96*C96</f>
        <v>7287</v>
      </c>
      <c r="F96" s="20"/>
      <c r="G96" s="20"/>
      <c r="H96" s="20"/>
      <c r="I96" s="20"/>
      <c r="J96" s="20">
        <f>E96*25%</f>
        <v>1821.75</v>
      </c>
      <c r="K96" s="20">
        <f>SUM(E96:J96)</f>
        <v>9108.75</v>
      </c>
      <c r="L96" s="20">
        <f>K96*80%</f>
        <v>7287</v>
      </c>
      <c r="M96" s="20">
        <f>L96+K96</f>
        <v>16395.75</v>
      </c>
      <c r="N96" s="20">
        <f>M96</f>
        <v>16395.75</v>
      </c>
      <c r="O96" s="173"/>
      <c r="S96" s="9"/>
    </row>
    <row r="97" spans="1:19" hidden="1">
      <c r="A97" s="5" t="s">
        <v>38</v>
      </c>
      <c r="B97" s="1">
        <v>2</v>
      </c>
      <c r="C97" s="49">
        <v>2302</v>
      </c>
      <c r="D97" s="49"/>
      <c r="E97" s="49">
        <v>4134</v>
      </c>
      <c r="F97" s="8">
        <f>C97/165.5*61*35%*B97</f>
        <v>593.92990936555884</v>
      </c>
      <c r="G97" s="8">
        <f>C97*12/1986*288/12*B97</f>
        <v>667.64954682779455</v>
      </c>
      <c r="H97" s="8"/>
      <c r="I97" s="8"/>
      <c r="J97" s="8">
        <f>(E97+F97+G97)*25%</f>
        <v>1348.8948640483384</v>
      </c>
      <c r="K97" s="8">
        <f>SUM(E97:J97)</f>
        <v>6744.4743202416921</v>
      </c>
      <c r="L97" s="8">
        <f>K97*80%</f>
        <v>5395.5794561933544</v>
      </c>
      <c r="M97" s="8">
        <f>L97+K97</f>
        <v>12140.053776435047</v>
      </c>
      <c r="N97" s="20">
        <f>M97</f>
        <v>12140.053776435047</v>
      </c>
      <c r="O97" s="173"/>
      <c r="S97" s="9"/>
    </row>
    <row r="98" spans="1:19" hidden="1">
      <c r="A98" s="5" t="s">
        <v>54</v>
      </c>
      <c r="B98" s="1">
        <v>4</v>
      </c>
      <c r="C98" s="49">
        <v>2791</v>
      </c>
      <c r="D98" s="49"/>
      <c r="E98" s="49">
        <v>9504</v>
      </c>
      <c r="F98" s="8">
        <f>C98/165.5*61*35%*B98</f>
        <v>1440.1897280966768</v>
      </c>
      <c r="G98" s="8">
        <f>C98*12/1986*288/12*B98</f>
        <v>1618.9486404833835</v>
      </c>
      <c r="H98" s="8"/>
      <c r="I98" s="8"/>
      <c r="J98" s="8">
        <f>(E98+F98+G98)*25%</f>
        <v>3140.7845921450153</v>
      </c>
      <c r="K98" s="8">
        <f>SUM(E98:J98)</f>
        <v>15703.922960725076</v>
      </c>
      <c r="L98" s="8">
        <f>K98*80%</f>
        <v>12563.138368580061</v>
      </c>
      <c r="M98" s="8">
        <f>L98+K98</f>
        <v>28267.061329305136</v>
      </c>
      <c r="N98" s="20">
        <f>M98</f>
        <v>28267.061329305136</v>
      </c>
      <c r="O98" s="173"/>
      <c r="S98" s="9"/>
    </row>
    <row r="99" spans="1:19" ht="25.5" hidden="1">
      <c r="A99" s="26" t="s">
        <v>39</v>
      </c>
      <c r="B99" s="10">
        <v>0.5</v>
      </c>
      <c r="C99" s="50">
        <v>2692</v>
      </c>
      <c r="D99" s="50"/>
      <c r="E99" s="50">
        <v>1146</v>
      </c>
      <c r="F99" s="20"/>
      <c r="G99" s="20"/>
      <c r="H99" s="20"/>
      <c r="I99" s="20"/>
      <c r="J99" s="20">
        <f>(E99+F99+G99)*25%</f>
        <v>286.5</v>
      </c>
      <c r="K99" s="20">
        <f>SUM(E99:J99)</f>
        <v>1432.5</v>
      </c>
      <c r="L99" s="20">
        <f>K99*80%</f>
        <v>1146</v>
      </c>
      <c r="M99" s="20">
        <f>L99+K99</f>
        <v>2578.5</v>
      </c>
      <c r="N99" s="20">
        <f>M99</f>
        <v>2578.5</v>
      </c>
      <c r="O99" s="173"/>
      <c r="S99" s="9"/>
    </row>
    <row r="100" spans="1:19" hidden="1">
      <c r="A100" s="27" t="s">
        <v>15</v>
      </c>
      <c r="B100" s="28">
        <f>SUM(B96:B99)</f>
        <v>9.5</v>
      </c>
      <c r="C100" s="28"/>
      <c r="D100" s="28"/>
      <c r="E100" s="52">
        <f>SUM(E96:E99)</f>
        <v>22071</v>
      </c>
      <c r="F100" s="29">
        <f>SUM(F96:F99)</f>
        <v>2034.1196374622357</v>
      </c>
      <c r="G100" s="29">
        <f>SUM(G96:G99)</f>
        <v>2286.5981873111782</v>
      </c>
      <c r="H100" s="29"/>
      <c r="I100" s="29"/>
      <c r="J100" s="29">
        <f>SUM(J96:J99)</f>
        <v>6597.9294561933539</v>
      </c>
      <c r="K100" s="29">
        <f>SUM(K96:K99)</f>
        <v>32989.647280966768</v>
      </c>
      <c r="L100" s="29">
        <f>K100*80%</f>
        <v>26391.717824773415</v>
      </c>
      <c r="M100" s="29">
        <f>L100+K100</f>
        <v>59381.365105740188</v>
      </c>
      <c r="N100" s="29">
        <f>SUM(N96:N99)</f>
        <v>59381.36510574018</v>
      </c>
      <c r="O100" s="175"/>
      <c r="P100" s="9">
        <f>N100/70*30</f>
        <v>25449.156473888648</v>
      </c>
      <c r="Q100" s="9">
        <f>N100+P100</f>
        <v>84830.521579628825</v>
      </c>
      <c r="S100" s="109">
        <f>N100/70*30+N100</f>
        <v>84830.521579628825</v>
      </c>
    </row>
    <row r="101" spans="1:19" hidden="1">
      <c r="A101" s="30" t="s">
        <v>5</v>
      </c>
      <c r="B101" s="1">
        <f>B85+B91+B94+B100</f>
        <v>29.67</v>
      </c>
      <c r="C101" s="1"/>
      <c r="D101" s="1"/>
      <c r="E101" s="8">
        <f>E100+E94+E91+E85</f>
        <v>178549.5</v>
      </c>
      <c r="F101" s="8">
        <f>F100</f>
        <v>2034.1196374622357</v>
      </c>
      <c r="G101" s="8">
        <f>G100+G94+G91+G85</f>
        <v>2286.5981873111782</v>
      </c>
      <c r="H101" s="8">
        <f>H91</f>
        <v>12285.71</v>
      </c>
      <c r="I101" s="8">
        <f>I91</f>
        <v>4318.26</v>
      </c>
      <c r="J101" s="8">
        <f>J100+J94+J91+J85</f>
        <v>45717.559456193361</v>
      </c>
      <c r="K101" s="8">
        <f>K100+K94+K91+K85</f>
        <v>245191.74728096675</v>
      </c>
      <c r="L101" s="8">
        <f>L100+L94+L91+L85</f>
        <v>196153.39782477342</v>
      </c>
      <c r="M101" s="8">
        <f>M100+M94+M91+M85</f>
        <v>441345.14510574023</v>
      </c>
      <c r="N101" s="8">
        <f>N100+N94+N91+N85</f>
        <v>441345.14510574023</v>
      </c>
      <c r="O101" s="171"/>
      <c r="Q101" s="9">
        <f>Q100+Q94+Q91+Q85</f>
        <v>630493.06443677167</v>
      </c>
      <c r="S101" s="9">
        <f>SUM(S85:S100)</f>
        <v>630493.06443677167</v>
      </c>
    </row>
    <row r="102" spans="1:19" hidden="1">
      <c r="A102" s="66" t="s">
        <v>95</v>
      </c>
      <c r="F102" s="587"/>
      <c r="G102" s="587"/>
      <c r="H102" s="587"/>
      <c r="I102" s="587"/>
      <c r="J102" s="587"/>
      <c r="K102" s="67"/>
      <c r="M102" s="2"/>
      <c r="N102" s="19"/>
      <c r="O102" s="19"/>
    </row>
    <row r="103" spans="1:19" hidden="1">
      <c r="A103" t="s">
        <v>93</v>
      </c>
      <c r="B103" s="14"/>
      <c r="C103" s="14"/>
      <c r="D103" s="14"/>
      <c r="E103" s="15">
        <f>N101</f>
        <v>441345.14510574023</v>
      </c>
      <c r="H103" s="32"/>
      <c r="I103" s="32"/>
      <c r="J103" s="9"/>
      <c r="K103" s="9"/>
    </row>
    <row r="104" spans="1:19" hidden="1">
      <c r="A104" t="s">
        <v>94</v>
      </c>
      <c r="B104" s="14"/>
      <c r="C104" s="14"/>
      <c r="D104" s="14"/>
      <c r="E104" s="15">
        <f>E103/70*30</f>
        <v>189147.91933103153</v>
      </c>
      <c r="H104" s="33"/>
      <c r="I104" s="32"/>
      <c r="J104" s="9"/>
    </row>
    <row r="105" spans="1:19" hidden="1">
      <c r="A105" t="s">
        <v>32</v>
      </c>
      <c r="B105" s="14"/>
      <c r="C105" s="14"/>
      <c r="D105" s="14"/>
      <c r="E105" s="15">
        <f>SUM(E103:E104)</f>
        <v>630493.06443677179</v>
      </c>
      <c r="H105" s="32"/>
      <c r="I105" s="32"/>
      <c r="J105" s="9"/>
      <c r="K105" s="9"/>
    </row>
    <row r="106" spans="1:19" hidden="1">
      <c r="A106" s="3"/>
      <c r="H106" s="33"/>
      <c r="I106" s="32"/>
      <c r="J106" s="9"/>
    </row>
    <row r="107" spans="1:19" hidden="1"/>
    <row r="108" spans="1:19" ht="15" hidden="1">
      <c r="A108" s="6" t="s">
        <v>25</v>
      </c>
      <c r="B108" s="6"/>
      <c r="C108" s="6"/>
      <c r="D108" s="6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9" hidden="1">
      <c r="A109" t="s">
        <v>62</v>
      </c>
      <c r="B109" s="6"/>
      <c r="C109" s="6"/>
      <c r="D109" s="6"/>
      <c r="F109" t="s">
        <v>67</v>
      </c>
      <c r="G109" t="s">
        <v>61</v>
      </c>
    </row>
    <row r="110" spans="1:19" hidden="1"/>
    <row r="111" spans="1:19" hidden="1"/>
    <row r="112" spans="1:19" hidden="1">
      <c r="C112" t="s">
        <v>133</v>
      </c>
      <c r="E112" s="9">
        <f>E101</f>
        <v>178549.5</v>
      </c>
      <c r="F112">
        <f>E112*9.85</f>
        <v>1758712.575</v>
      </c>
    </row>
    <row r="113" spans="3:6" hidden="1">
      <c r="C113" t="s">
        <v>132</v>
      </c>
      <c r="E113" s="9">
        <f>E103-E112</f>
        <v>262795.64510574023</v>
      </c>
      <c r="F113">
        <f>E113*9.85</f>
        <v>2588537.104291541</v>
      </c>
    </row>
    <row r="114" spans="3:6" hidden="1">
      <c r="C114" t="s">
        <v>134</v>
      </c>
      <c r="E114" s="9">
        <f>E104</f>
        <v>189147.91933103153</v>
      </c>
      <c r="F114">
        <f>E114*9.85+3674</f>
        <v>1866781.0054106605</v>
      </c>
    </row>
    <row r="115" spans="3:6" hidden="1">
      <c r="E115" s="9">
        <f>SUM(E112:E114)</f>
        <v>630493.06443677179</v>
      </c>
      <c r="F115">
        <f>SUM(F112:F114)</f>
        <v>6214030.6847022008</v>
      </c>
    </row>
    <row r="116" spans="3:6" hidden="1"/>
    <row r="117" spans="3:6" hidden="1">
      <c r="E117">
        <v>6190000</v>
      </c>
      <c r="F117">
        <f>E117-F115</f>
        <v>-24030.684702200815</v>
      </c>
    </row>
    <row r="118" spans="3:6" hidden="1">
      <c r="E118">
        <f>E117/E115</f>
        <v>9.8177130711653628</v>
      </c>
    </row>
    <row r="119" spans="3:6" hidden="1"/>
    <row r="120" spans="3:6" hidden="1"/>
    <row r="121" spans="3:6" hidden="1"/>
    <row r="122" spans="3:6" hidden="1"/>
    <row r="123" spans="3:6" hidden="1"/>
    <row r="124" spans="3:6" hidden="1"/>
    <row r="125" spans="3:6" hidden="1"/>
    <row r="126" spans="3:6" hidden="1"/>
    <row r="127" spans="3:6" hidden="1"/>
    <row r="128" spans="3:6" hidden="1"/>
    <row r="129" spans="1:15" hidden="1"/>
    <row r="130" spans="1:15" ht="15.75" hidden="1">
      <c r="A130" s="113" t="s">
        <v>120</v>
      </c>
      <c r="B130" s="113"/>
      <c r="C130" s="113"/>
      <c r="D130" s="113"/>
      <c r="E130" s="113"/>
      <c r="F130" s="114"/>
      <c r="G130" s="114"/>
      <c r="H130" s="114"/>
      <c r="I130" s="114"/>
      <c r="J130" s="115"/>
      <c r="K130" s="449" t="s">
        <v>109</v>
      </c>
      <c r="L130" s="449"/>
      <c r="M130" s="449"/>
    </row>
    <row r="131" spans="1:15" ht="15.75" hidden="1">
      <c r="A131" s="113" t="s">
        <v>121</v>
      </c>
      <c r="B131" s="113"/>
      <c r="C131" s="113"/>
      <c r="D131" s="113"/>
      <c r="E131" s="113"/>
      <c r="F131" s="114"/>
      <c r="G131" s="114"/>
      <c r="H131" s="114"/>
      <c r="I131" s="114"/>
      <c r="J131" s="116"/>
      <c r="K131" s="449"/>
      <c r="L131" s="449"/>
      <c r="M131" s="449"/>
    </row>
    <row r="132" spans="1:15" ht="15.75" hidden="1">
      <c r="A132" s="113"/>
      <c r="B132" s="113"/>
      <c r="C132" s="113"/>
      <c r="D132" s="113"/>
      <c r="E132" s="113"/>
      <c r="F132" s="114"/>
      <c r="G132" s="114"/>
      <c r="H132" s="114"/>
      <c r="I132" s="114"/>
      <c r="J132" s="116"/>
      <c r="K132" s="116"/>
      <c r="L132" s="116"/>
      <c r="M132" s="117" t="s">
        <v>110</v>
      </c>
    </row>
    <row r="133" spans="1:15" ht="15.75" hidden="1">
      <c r="A133" s="113" t="s">
        <v>122</v>
      </c>
      <c r="B133" s="113"/>
      <c r="C133" s="113"/>
      <c r="D133" s="113"/>
      <c r="E133" s="113"/>
      <c r="F133" s="114"/>
      <c r="G133" s="114"/>
      <c r="H133" s="114"/>
      <c r="I133" s="114"/>
      <c r="J133" s="118"/>
      <c r="K133" s="450" t="s">
        <v>111</v>
      </c>
      <c r="L133" s="451"/>
      <c r="M133" s="119">
        <v>301017</v>
      </c>
    </row>
    <row r="134" spans="1:15" ht="18.75" hidden="1">
      <c r="A134" s="113"/>
      <c r="B134" s="452" t="s">
        <v>126</v>
      </c>
      <c r="C134" s="452"/>
      <c r="D134" s="452"/>
      <c r="E134" s="452"/>
      <c r="F134" s="452"/>
      <c r="G134" s="452"/>
      <c r="H134" s="452"/>
      <c r="I134" s="452"/>
      <c r="J134" s="452"/>
      <c r="K134" s="115"/>
      <c r="L134" s="120" t="s">
        <v>112</v>
      </c>
      <c r="M134" s="121"/>
    </row>
    <row r="135" spans="1:15" ht="15.75" hidden="1">
      <c r="A135" s="113"/>
      <c r="B135" s="113"/>
      <c r="C135" s="113"/>
      <c r="D135" s="113"/>
      <c r="E135" s="122" t="s">
        <v>113</v>
      </c>
      <c r="F135" s="453" t="s">
        <v>114</v>
      </c>
      <c r="G135" s="453"/>
      <c r="H135" s="114"/>
      <c r="I135" s="114"/>
      <c r="J135" s="454" t="s">
        <v>115</v>
      </c>
      <c r="K135" s="454"/>
      <c r="L135" s="454"/>
      <c r="M135" s="454"/>
    </row>
    <row r="136" spans="1:15" ht="15.75" hidden="1">
      <c r="A136" s="558" t="s">
        <v>116</v>
      </c>
      <c r="B136" s="558"/>
      <c r="C136" s="559"/>
      <c r="D136" s="164"/>
      <c r="E136" s="123"/>
      <c r="F136" s="456" t="s">
        <v>141</v>
      </c>
      <c r="G136" s="456"/>
      <c r="H136" s="114"/>
      <c r="I136" s="114"/>
      <c r="J136" s="115" t="s">
        <v>117</v>
      </c>
      <c r="K136" s="115"/>
      <c r="L136" s="115"/>
      <c r="M136" s="115"/>
    </row>
    <row r="137" spans="1:15" ht="15.75" hidden="1">
      <c r="A137" s="462" t="s">
        <v>145</v>
      </c>
      <c r="B137" s="462"/>
      <c r="C137" s="462"/>
      <c r="D137" s="462"/>
      <c r="E137" s="462"/>
      <c r="F137" s="462"/>
      <c r="G137" s="462"/>
      <c r="H137" s="114"/>
      <c r="I137" s="114"/>
      <c r="J137" s="115" t="s">
        <v>118</v>
      </c>
      <c r="K137" s="115"/>
      <c r="L137" s="124">
        <f>B166</f>
        <v>28.5</v>
      </c>
      <c r="M137" s="115" t="s">
        <v>119</v>
      </c>
    </row>
    <row r="138" spans="1:15" ht="15.75" hidden="1">
      <c r="A138" s="125"/>
      <c r="B138" s="126"/>
      <c r="C138" s="126"/>
      <c r="D138" s="126"/>
      <c r="E138" s="126"/>
      <c r="F138" s="126"/>
      <c r="G138" s="126"/>
      <c r="H138" s="126"/>
      <c r="I138" s="126"/>
      <c r="J138" s="127" t="s">
        <v>127</v>
      </c>
      <c r="K138" s="127"/>
      <c r="L138" s="127"/>
      <c r="M138" s="127"/>
      <c r="N138" s="128"/>
      <c r="O138" s="128"/>
    </row>
    <row r="139" spans="1:15" hidden="1"/>
    <row r="140" spans="1:15" ht="18" hidden="1">
      <c r="A140" s="577" t="s">
        <v>7</v>
      </c>
      <c r="B140" s="577"/>
      <c r="C140" s="577"/>
      <c r="D140" s="577"/>
      <c r="E140" s="577"/>
      <c r="F140" s="577"/>
      <c r="G140" s="577"/>
      <c r="H140" s="577"/>
      <c r="I140" s="577"/>
      <c r="J140" s="577"/>
      <c r="K140" s="577"/>
      <c r="L140" s="577"/>
      <c r="M140" s="577"/>
      <c r="N140" s="577"/>
      <c r="O140" s="168"/>
    </row>
    <row r="141" spans="1:15" hidden="1"/>
    <row r="142" spans="1:15" ht="15.75" hidden="1">
      <c r="A142" s="576" t="s">
        <v>144</v>
      </c>
      <c r="B142" s="576"/>
      <c r="C142" s="576"/>
      <c r="D142" s="576"/>
      <c r="E142" s="576"/>
      <c r="F142" s="576"/>
      <c r="G142" s="576"/>
      <c r="H142" s="576"/>
      <c r="I142" s="576"/>
      <c r="J142" s="576"/>
      <c r="K142" s="576"/>
      <c r="L142" s="576"/>
      <c r="M142" s="576"/>
      <c r="N142" s="576"/>
      <c r="O142" s="31"/>
    </row>
    <row r="143" spans="1:15" hidden="1">
      <c r="B143" s="477" t="s">
        <v>108</v>
      </c>
      <c r="C143" s="477"/>
      <c r="D143" s="477"/>
      <c r="E143" s="477"/>
      <c r="F143" s="477"/>
      <c r="G143" s="477"/>
      <c r="H143" s="477"/>
      <c r="I143" s="477"/>
      <c r="J143" s="477"/>
      <c r="K143" s="477"/>
      <c r="L143" s="477"/>
      <c r="M143" s="477"/>
    </row>
    <row r="144" spans="1:15" hidden="1">
      <c r="A144" s="1" t="s">
        <v>8</v>
      </c>
      <c r="B144" s="584" t="s">
        <v>10</v>
      </c>
      <c r="C144" s="583" t="s">
        <v>70</v>
      </c>
      <c r="D144" s="414"/>
      <c r="E144" s="579" t="s">
        <v>71</v>
      </c>
      <c r="F144" s="582" t="s">
        <v>97</v>
      </c>
      <c r="G144" s="582"/>
      <c r="H144" s="582"/>
      <c r="I144" s="582"/>
      <c r="J144" s="582"/>
      <c r="K144" s="582"/>
      <c r="L144" s="582"/>
      <c r="M144" s="582"/>
      <c r="N144" s="580" t="s">
        <v>97</v>
      </c>
      <c r="O144" s="169"/>
    </row>
    <row r="145" spans="1:17" ht="25.5" hidden="1">
      <c r="A145" s="1" t="s">
        <v>9</v>
      </c>
      <c r="B145" s="584"/>
      <c r="C145" s="583"/>
      <c r="D145" s="414"/>
      <c r="E145" s="579"/>
      <c r="F145" s="13" t="s">
        <v>16</v>
      </c>
      <c r="G145" s="13" t="s">
        <v>17</v>
      </c>
      <c r="H145" s="13" t="s">
        <v>59</v>
      </c>
      <c r="I145" s="13" t="s">
        <v>41</v>
      </c>
      <c r="J145" s="13" t="s">
        <v>42</v>
      </c>
      <c r="K145" s="13" t="s">
        <v>45</v>
      </c>
      <c r="L145" s="13" t="s">
        <v>52</v>
      </c>
      <c r="M145" s="13" t="s">
        <v>44</v>
      </c>
      <c r="N145" s="581"/>
      <c r="O145" s="216" t="s">
        <v>143</v>
      </c>
    </row>
    <row r="146" spans="1:17" hidden="1">
      <c r="A146" s="585" t="s">
        <v>18</v>
      </c>
      <c r="B146" s="585"/>
      <c r="C146" s="585"/>
      <c r="D146" s="585"/>
      <c r="E146" s="585"/>
      <c r="F146" s="585"/>
      <c r="G146" s="585"/>
      <c r="H146" s="585"/>
      <c r="I146" s="585"/>
      <c r="J146" s="585"/>
      <c r="K146" s="585"/>
      <c r="L146" s="585"/>
      <c r="M146" s="585"/>
      <c r="N146" s="585"/>
      <c r="O146" s="214"/>
    </row>
    <row r="147" spans="1:17" hidden="1">
      <c r="A147" s="21" t="s">
        <v>19</v>
      </c>
      <c r="B147" s="1">
        <v>1</v>
      </c>
      <c r="C147" s="49">
        <v>7879</v>
      </c>
      <c r="D147" s="49"/>
      <c r="E147" s="49">
        <f>B147*C147</f>
        <v>7879</v>
      </c>
      <c r="F147" s="8"/>
      <c r="G147" s="8"/>
      <c r="H147" s="8"/>
      <c r="I147" s="8"/>
      <c r="J147" s="8">
        <f>E147*25%</f>
        <v>1969.75</v>
      </c>
      <c r="K147" s="8">
        <f>J147+E147</f>
        <v>9848.75</v>
      </c>
      <c r="L147" s="8">
        <f>K147*80%</f>
        <v>7879</v>
      </c>
      <c r="M147" s="8">
        <f>L147+K147</f>
        <v>17727.75</v>
      </c>
      <c r="N147" s="8">
        <f>M147</f>
        <v>17727.75</v>
      </c>
      <c r="O147" s="46"/>
    </row>
    <row r="148" spans="1:17" hidden="1">
      <c r="A148" s="21" t="s">
        <v>20</v>
      </c>
      <c r="B148" s="1">
        <v>1</v>
      </c>
      <c r="C148" s="49">
        <v>6303</v>
      </c>
      <c r="D148" s="49"/>
      <c r="E148" s="49">
        <f>B148*C148</f>
        <v>6303</v>
      </c>
      <c r="F148" s="8"/>
      <c r="G148" s="8"/>
      <c r="H148" s="8"/>
      <c r="I148" s="8"/>
      <c r="J148" s="8">
        <f>E148*25%</f>
        <v>1575.75</v>
      </c>
      <c r="K148" s="8">
        <f>J148+E148</f>
        <v>7878.75</v>
      </c>
      <c r="L148" s="8">
        <f>K148*80%</f>
        <v>6303</v>
      </c>
      <c r="M148" s="8">
        <f>L148+K148</f>
        <v>14181.75</v>
      </c>
      <c r="N148" s="8">
        <f>M148</f>
        <v>14181.75</v>
      </c>
      <c r="O148" s="46"/>
    </row>
    <row r="149" spans="1:17" hidden="1">
      <c r="A149" s="21" t="s">
        <v>21</v>
      </c>
      <c r="B149" s="1">
        <v>0.5</v>
      </c>
      <c r="C149" s="49">
        <v>6303</v>
      </c>
      <c r="D149" s="49"/>
      <c r="E149" s="49">
        <f>B149*C149</f>
        <v>3151.5</v>
      </c>
      <c r="F149" s="8"/>
      <c r="G149" s="8"/>
      <c r="H149" s="8"/>
      <c r="I149" s="8"/>
      <c r="J149" s="8">
        <f>E149*25%</f>
        <v>787.875</v>
      </c>
      <c r="K149" s="8">
        <f>J149+E149</f>
        <v>3939.375</v>
      </c>
      <c r="L149" s="8">
        <f>K149*80%</f>
        <v>3151.5</v>
      </c>
      <c r="M149" s="8">
        <f>L149+K149</f>
        <v>7090.875</v>
      </c>
      <c r="N149" s="8">
        <f>M149</f>
        <v>7090.875</v>
      </c>
      <c r="O149" s="46"/>
    </row>
    <row r="150" spans="1:17" hidden="1">
      <c r="A150" s="22" t="s">
        <v>15</v>
      </c>
      <c r="B150" s="23">
        <f>SUM(B147:B149)</f>
        <v>2.5</v>
      </c>
      <c r="C150" s="51"/>
      <c r="D150" s="51"/>
      <c r="E150" s="51">
        <f>SUM(E147:E149)</f>
        <v>17333.5</v>
      </c>
      <c r="F150" s="16"/>
      <c r="G150" s="16"/>
      <c r="H150" s="16"/>
      <c r="I150" s="16"/>
      <c r="J150" s="16">
        <f>SUM(J147:J149)</f>
        <v>4333.375</v>
      </c>
      <c r="K150" s="16">
        <f>SUM(K147:K149)</f>
        <v>21666.875</v>
      </c>
      <c r="L150" s="16">
        <f>SUM(L147:L149)</f>
        <v>17333.5</v>
      </c>
      <c r="M150" s="16">
        <f>SUM(M147:M149)</f>
        <v>39000.375</v>
      </c>
      <c r="N150" s="16">
        <f>SUM(N147:N149)</f>
        <v>39000.375</v>
      </c>
      <c r="O150" s="16"/>
      <c r="P150" s="219">
        <f>N150/70*30</f>
        <v>16714.446428571428</v>
      </c>
      <c r="Q150" s="9">
        <f>P150+N150</f>
        <v>55714.821428571428</v>
      </c>
    </row>
    <row r="151" spans="1:17" hidden="1">
      <c r="A151" s="586" t="s">
        <v>22</v>
      </c>
      <c r="B151" s="586"/>
      <c r="C151" s="586"/>
      <c r="D151" s="586"/>
      <c r="E151" s="586"/>
      <c r="F151" s="586"/>
      <c r="G151" s="586"/>
      <c r="H151" s="586"/>
      <c r="I151" s="586"/>
      <c r="J151" s="586"/>
      <c r="K151" s="586"/>
      <c r="L151" s="586"/>
      <c r="M151" s="586"/>
      <c r="N151" s="586"/>
      <c r="O151" s="215"/>
    </row>
    <row r="152" spans="1:17" hidden="1">
      <c r="A152" s="7" t="s">
        <v>23</v>
      </c>
      <c r="B152" s="136">
        <v>7.92</v>
      </c>
      <c r="C152" s="136">
        <v>8170</v>
      </c>
      <c r="D152" s="136"/>
      <c r="E152" s="136">
        <v>64679.17</v>
      </c>
      <c r="F152" s="136"/>
      <c r="G152" s="136"/>
      <c r="H152" s="161">
        <v>7285.71</v>
      </c>
      <c r="I152" s="161">
        <v>1475.14</v>
      </c>
      <c r="J152" s="161">
        <v>16169.79</v>
      </c>
      <c r="K152" s="161">
        <f>E152+H152+I152+J152</f>
        <v>89609.81</v>
      </c>
      <c r="L152" s="161">
        <f>K152*80%</f>
        <v>71687.847999999998</v>
      </c>
      <c r="M152" s="161">
        <f>E152+H152+I152+J152+L152</f>
        <v>161297.658</v>
      </c>
      <c r="N152" s="161">
        <f>M152</f>
        <v>161297.658</v>
      </c>
      <c r="O152" s="46"/>
    </row>
    <row r="153" spans="1:17" hidden="1">
      <c r="A153" s="7" t="s">
        <v>23</v>
      </c>
      <c r="B153" s="136">
        <v>1.39</v>
      </c>
      <c r="C153" s="136">
        <v>8723</v>
      </c>
      <c r="D153" s="136"/>
      <c r="E153" s="136">
        <v>12115.28</v>
      </c>
      <c r="F153" s="136"/>
      <c r="G153" s="136"/>
      <c r="H153" s="161">
        <v>1285.71</v>
      </c>
      <c r="I153" s="161">
        <v>484.61</v>
      </c>
      <c r="J153" s="161">
        <v>3028.82</v>
      </c>
      <c r="K153" s="161">
        <f>E153+H153+I153+J153</f>
        <v>16914.420000000002</v>
      </c>
      <c r="L153" s="161">
        <f>K153*80%</f>
        <v>13531.536000000002</v>
      </c>
      <c r="M153" s="161">
        <f>E153+H153+I153+J153+L153</f>
        <v>30445.956000000006</v>
      </c>
      <c r="N153" s="161">
        <f>M153</f>
        <v>30445.956000000006</v>
      </c>
      <c r="O153" s="46"/>
    </row>
    <row r="154" spans="1:17" hidden="1">
      <c r="A154" s="7" t="s">
        <v>23</v>
      </c>
      <c r="B154" s="136">
        <v>6.69</v>
      </c>
      <c r="C154" s="136">
        <v>7754</v>
      </c>
      <c r="D154" s="136"/>
      <c r="E154" s="136">
        <v>51908.72</v>
      </c>
      <c r="F154" s="136"/>
      <c r="G154" s="136"/>
      <c r="H154" s="161">
        <v>3714.29</v>
      </c>
      <c r="I154" s="161">
        <v>1906.19</v>
      </c>
      <c r="J154" s="161">
        <v>12977.18</v>
      </c>
      <c r="K154" s="161">
        <f>E154+H154+I154+J154</f>
        <v>70506.38</v>
      </c>
      <c r="L154" s="161">
        <f>K154*80%</f>
        <v>56405.104000000007</v>
      </c>
      <c r="M154" s="161">
        <f>E154+H154+I154+J154+L154</f>
        <v>126911.48400000001</v>
      </c>
      <c r="N154" s="161">
        <f>M154</f>
        <v>126911.48400000001</v>
      </c>
      <c r="O154" s="46"/>
    </row>
    <row r="155" spans="1:17" hidden="1">
      <c r="A155" s="7" t="s">
        <v>23</v>
      </c>
      <c r="B155" s="1"/>
      <c r="C155" s="1"/>
      <c r="D155" s="1"/>
      <c r="E155" s="8"/>
      <c r="F155" s="8"/>
      <c r="G155" s="8"/>
      <c r="H155" s="8"/>
      <c r="I155" s="8"/>
      <c r="J155" s="8"/>
      <c r="K155" s="161"/>
      <c r="L155" s="161"/>
      <c r="M155" s="161"/>
      <c r="N155" s="161"/>
      <c r="O155" s="161"/>
    </row>
    <row r="156" spans="1:17" hidden="1">
      <c r="A156" s="22" t="s">
        <v>15</v>
      </c>
      <c r="B156" s="23">
        <f>B155+B154+B153+B152</f>
        <v>16</v>
      </c>
      <c r="C156" s="23"/>
      <c r="D156" s="23"/>
      <c r="E156" s="16">
        <f>E155+E154+E153+E152</f>
        <v>128703.17</v>
      </c>
      <c r="F156" s="16">
        <f t="shared" ref="F156:L156" si="2">F155+F154+F153+F152</f>
        <v>0</v>
      </c>
      <c r="G156" s="16">
        <f t="shared" si="2"/>
        <v>0</v>
      </c>
      <c r="H156" s="16">
        <f t="shared" si="2"/>
        <v>12285.71</v>
      </c>
      <c r="I156" s="16">
        <f t="shared" si="2"/>
        <v>3865.9400000000005</v>
      </c>
      <c r="J156" s="16">
        <f t="shared" si="2"/>
        <v>32175.79</v>
      </c>
      <c r="K156" s="16">
        <f t="shared" si="2"/>
        <v>177030.61</v>
      </c>
      <c r="L156" s="16">
        <f t="shared" si="2"/>
        <v>141624.48800000001</v>
      </c>
      <c r="M156" s="16">
        <f>M155+M154+M153+M152+0.01</f>
        <v>318655.10800000001</v>
      </c>
      <c r="N156" s="16">
        <f>N155+N154+N153+N152+0.01</f>
        <v>318655.10800000001</v>
      </c>
      <c r="O156" s="16">
        <f>O155+O154+O153+O152</f>
        <v>0</v>
      </c>
      <c r="P156" s="219">
        <f>N156/70*30</f>
        <v>136566.47485714286</v>
      </c>
      <c r="Q156" s="9">
        <f>P156+N156</f>
        <v>455221.5828571429</v>
      </c>
    </row>
    <row r="157" spans="1:17" hidden="1">
      <c r="A157" s="586" t="s">
        <v>2</v>
      </c>
      <c r="B157" s="586"/>
      <c r="C157" s="586"/>
      <c r="D157" s="586"/>
      <c r="E157" s="586"/>
      <c r="F157" s="586"/>
      <c r="G157" s="586"/>
      <c r="H157" s="586"/>
      <c r="I157" s="586"/>
      <c r="J157" s="586"/>
      <c r="K157" s="586"/>
      <c r="L157" s="586"/>
      <c r="M157" s="586"/>
      <c r="N157" s="586"/>
      <c r="O157" s="215"/>
    </row>
    <row r="158" spans="1:17" hidden="1">
      <c r="A158" s="5" t="s">
        <v>3</v>
      </c>
      <c r="B158" s="1">
        <v>0.5</v>
      </c>
      <c r="C158" s="49">
        <v>2791</v>
      </c>
      <c r="D158" s="49"/>
      <c r="E158" s="49">
        <f>B158*C158</f>
        <v>1395.5</v>
      </c>
      <c r="F158" s="8"/>
      <c r="G158" s="8"/>
      <c r="H158" s="8"/>
      <c r="I158" s="8"/>
      <c r="J158" s="8">
        <f>E158*25%</f>
        <v>348.875</v>
      </c>
      <c r="K158" s="8">
        <f>J158+E158</f>
        <v>1744.375</v>
      </c>
      <c r="L158" s="8">
        <f>K158*80%</f>
        <v>1395.5</v>
      </c>
      <c r="M158" s="8">
        <f>L158+K158</f>
        <v>3139.875</v>
      </c>
      <c r="N158" s="8">
        <f>M158</f>
        <v>3139.875</v>
      </c>
      <c r="O158" s="46">
        <f>B158*6204*1.8-(N158/70*30+N158)</f>
        <v>1098.0642857142866</v>
      </c>
    </row>
    <row r="159" spans="1:17" hidden="1">
      <c r="A159" s="24" t="s">
        <v>15</v>
      </c>
      <c r="B159" s="23">
        <f>SUM(B158:B158)</f>
        <v>0.5</v>
      </c>
      <c r="C159" s="51"/>
      <c r="D159" s="51"/>
      <c r="E159" s="51">
        <f>E158</f>
        <v>1395.5</v>
      </c>
      <c r="F159" s="16"/>
      <c r="G159" s="16"/>
      <c r="H159" s="16"/>
      <c r="I159" s="16"/>
      <c r="J159" s="16">
        <f>E159*25%</f>
        <v>348.875</v>
      </c>
      <c r="K159" s="16">
        <f>J159+E159</f>
        <v>1744.375</v>
      </c>
      <c r="L159" s="16">
        <f>K159*80%</f>
        <v>1395.5</v>
      </c>
      <c r="M159" s="16">
        <f>L159+K159</f>
        <v>3139.875</v>
      </c>
      <c r="N159" s="16">
        <f>SUM(N158)</f>
        <v>3139.875</v>
      </c>
      <c r="O159" s="16">
        <f>SUM(O158)</f>
        <v>1098.0642857142866</v>
      </c>
      <c r="P159" s="9">
        <f>N159/70*30</f>
        <v>1345.6607142857142</v>
      </c>
      <c r="Q159" s="9">
        <f>N159+P159</f>
        <v>4485.5357142857138</v>
      </c>
    </row>
    <row r="160" spans="1:17" hidden="1">
      <c r="A160" s="585" t="s">
        <v>4</v>
      </c>
      <c r="B160" s="585"/>
      <c r="C160" s="585"/>
      <c r="D160" s="585"/>
      <c r="E160" s="585"/>
      <c r="F160" s="585"/>
      <c r="G160" s="585"/>
      <c r="H160" s="585"/>
      <c r="I160" s="585"/>
      <c r="J160" s="585"/>
      <c r="K160" s="585"/>
      <c r="L160" s="585"/>
      <c r="M160" s="585"/>
      <c r="N160" s="585"/>
      <c r="O160" s="214"/>
    </row>
    <row r="161" spans="1:17" ht="25.5" hidden="1">
      <c r="A161" s="25" t="s">
        <v>53</v>
      </c>
      <c r="B161" s="10">
        <v>3</v>
      </c>
      <c r="C161" s="50">
        <v>2429</v>
      </c>
      <c r="D161" s="50"/>
      <c r="E161" s="50">
        <f>B161*C161</f>
        <v>7287</v>
      </c>
      <c r="F161" s="20"/>
      <c r="G161" s="20"/>
      <c r="H161" s="20"/>
      <c r="I161" s="20"/>
      <c r="J161" s="20">
        <f>E161*25%</f>
        <v>1821.75</v>
      </c>
      <c r="K161" s="20">
        <f>SUM(E161:J161)</f>
        <v>9108.75</v>
      </c>
      <c r="L161" s="20">
        <f>K161*80%</f>
        <v>7287</v>
      </c>
      <c r="M161" s="20">
        <f>L161+K161</f>
        <v>16395.75</v>
      </c>
      <c r="N161" s="20">
        <f>M161</f>
        <v>16395.75</v>
      </c>
      <c r="O161" s="46">
        <f>B161*6204*1.8-(N161/70*30+N161)</f>
        <v>10079.099999999999</v>
      </c>
    </row>
    <row r="162" spans="1:17" hidden="1">
      <c r="A162" s="5" t="s">
        <v>38</v>
      </c>
      <c r="B162" s="1">
        <v>2</v>
      </c>
      <c r="C162" s="49">
        <v>2302</v>
      </c>
      <c r="D162" s="49"/>
      <c r="E162" s="49">
        <v>4134</v>
      </c>
      <c r="F162" s="8">
        <f>C162/165.5*61*35%*B162</f>
        <v>593.92990936555884</v>
      </c>
      <c r="G162" s="8">
        <f>C162*12/1986*288/12*B162</f>
        <v>667.64954682779455</v>
      </c>
      <c r="H162" s="8"/>
      <c r="I162" s="8"/>
      <c r="J162" s="8">
        <f>(E162+F162+G162)*25%</f>
        <v>1348.8948640483384</v>
      </c>
      <c r="K162" s="8">
        <f>SUM(E162:J162)</f>
        <v>6744.4743202416921</v>
      </c>
      <c r="L162" s="8">
        <f>K162*80%</f>
        <v>5395.5794561933544</v>
      </c>
      <c r="M162" s="8">
        <f>L162+K162</f>
        <v>12140.053776435047</v>
      </c>
      <c r="N162" s="20">
        <f>M162</f>
        <v>12140.053776435047</v>
      </c>
      <c r="O162" s="46">
        <f>B162*6204*1.8-(N162/70*30+N162)</f>
        <v>4991.4660336642191</v>
      </c>
    </row>
    <row r="163" spans="1:17" hidden="1">
      <c r="A163" s="5" t="s">
        <v>54</v>
      </c>
      <c r="B163" s="1">
        <v>4</v>
      </c>
      <c r="C163" s="49">
        <v>2791</v>
      </c>
      <c r="D163" s="49"/>
      <c r="E163" s="49">
        <v>9504</v>
      </c>
      <c r="F163" s="8">
        <f>C163/165.5*61*35%*B163</f>
        <v>1440.1897280966768</v>
      </c>
      <c r="G163" s="8">
        <f>C163*12/1986*288/12*B163</f>
        <v>1618.9486404833835</v>
      </c>
      <c r="H163" s="8"/>
      <c r="I163" s="8"/>
      <c r="J163" s="8">
        <f>(E163+F163+G163)*25%</f>
        <v>3140.7845921450153</v>
      </c>
      <c r="K163" s="8">
        <f>SUM(E163:J163)</f>
        <v>15703.922960725076</v>
      </c>
      <c r="L163" s="8">
        <f>K163*80%</f>
        <v>12563.138368580061</v>
      </c>
      <c r="M163" s="8">
        <f>L163+K163</f>
        <v>28267.061329305136</v>
      </c>
      <c r="N163" s="20">
        <f>M163</f>
        <v>28267.061329305136</v>
      </c>
      <c r="O163" s="46">
        <f>B163*6204*1.8-(N163/70*30+N163)</f>
        <v>4287.2838152783806</v>
      </c>
    </row>
    <row r="164" spans="1:17" ht="25.5" hidden="1">
      <c r="A164" s="26" t="s">
        <v>39</v>
      </c>
      <c r="B164" s="10">
        <v>0.5</v>
      </c>
      <c r="C164" s="50">
        <v>2692</v>
      </c>
      <c r="D164" s="50"/>
      <c r="E164" s="50">
        <v>1146</v>
      </c>
      <c r="F164" s="20"/>
      <c r="G164" s="20"/>
      <c r="H164" s="20"/>
      <c r="I164" s="20"/>
      <c r="J164" s="20">
        <f>(E164+F164+G164)*25%</f>
        <v>286.5</v>
      </c>
      <c r="K164" s="20">
        <f>SUM(E164:J164)</f>
        <v>1432.5</v>
      </c>
      <c r="L164" s="20">
        <f>K164*80%</f>
        <v>1146</v>
      </c>
      <c r="M164" s="20">
        <f>L164+K164</f>
        <v>2578.5</v>
      </c>
      <c r="N164" s="20">
        <f>M164</f>
        <v>2578.5</v>
      </c>
      <c r="O164" s="46">
        <f>B164*6204*1.8-(N164/70*30+N164)</f>
        <v>1900.0285714285719</v>
      </c>
    </row>
    <row r="165" spans="1:17" hidden="1">
      <c r="A165" s="27" t="s">
        <v>15</v>
      </c>
      <c r="B165" s="28">
        <f>SUM(B161:B164)</f>
        <v>9.5</v>
      </c>
      <c r="C165" s="28"/>
      <c r="D165" s="28"/>
      <c r="E165" s="52">
        <f>SUM(E161:E164)</f>
        <v>22071</v>
      </c>
      <c r="F165" s="29">
        <f>SUM(F161:F164)</f>
        <v>2034.1196374622357</v>
      </c>
      <c r="G165" s="29">
        <f>SUM(G161:G164)</f>
        <v>2286.5981873111782</v>
      </c>
      <c r="H165" s="29"/>
      <c r="I165" s="29"/>
      <c r="J165" s="29">
        <f>SUM(J161:J164)</f>
        <v>6597.9294561933539</v>
      </c>
      <c r="K165" s="29">
        <f>SUM(K161:K164)</f>
        <v>32989.647280966768</v>
      </c>
      <c r="L165" s="29">
        <f>K165*80%</f>
        <v>26391.717824773415</v>
      </c>
      <c r="M165" s="29">
        <f>L165+K165</f>
        <v>59381.365105740188</v>
      </c>
      <c r="N165" s="29">
        <f>SUM(N161:N164)</f>
        <v>59381.36510574018</v>
      </c>
      <c r="O165" s="29">
        <f>SUM(O161:O164)</f>
        <v>21257.878420371169</v>
      </c>
      <c r="P165" s="9">
        <f>N165/70*30</f>
        <v>25449.156473888648</v>
      </c>
      <c r="Q165" s="9">
        <f>N165+P165</f>
        <v>84830.521579628825</v>
      </c>
    </row>
    <row r="166" spans="1:17" hidden="1">
      <c r="A166" s="30" t="s">
        <v>5</v>
      </c>
      <c r="B166" s="1">
        <f>B150+B156+B159+B165</f>
        <v>28.5</v>
      </c>
      <c r="C166" s="1"/>
      <c r="D166" s="1"/>
      <c r="E166" s="8">
        <f>E165+E159+E156+E150</f>
        <v>169503.16999999998</v>
      </c>
      <c r="F166" s="8">
        <f>F165</f>
        <v>2034.1196374622357</v>
      </c>
      <c r="G166" s="8">
        <f>G165+G159+G156+G150</f>
        <v>2286.5981873111782</v>
      </c>
      <c r="H166" s="8">
        <f>H156</f>
        <v>12285.71</v>
      </c>
      <c r="I166" s="8">
        <f>I156</f>
        <v>3865.9400000000005</v>
      </c>
      <c r="J166" s="8">
        <f t="shared" ref="J166:O166" si="3">J165+J159+J156+J150</f>
        <v>43455.969456193357</v>
      </c>
      <c r="K166" s="8">
        <f t="shared" si="3"/>
        <v>233431.50728096676</v>
      </c>
      <c r="L166" s="8">
        <f t="shared" si="3"/>
        <v>186745.20582477344</v>
      </c>
      <c r="M166" s="8">
        <f t="shared" si="3"/>
        <v>420176.72310574021</v>
      </c>
      <c r="N166" s="8">
        <f t="shared" si="3"/>
        <v>420176.72310574021</v>
      </c>
      <c r="O166" s="8">
        <f t="shared" si="3"/>
        <v>22355.942706085458</v>
      </c>
      <c r="Q166" s="9">
        <f>Q165+Q159+Q156+Q150</f>
        <v>600252.46157962887</v>
      </c>
    </row>
    <row r="167" spans="1:17" hidden="1">
      <c r="A167" s="66" t="s">
        <v>95</v>
      </c>
      <c r="F167" s="587"/>
      <c r="G167" s="587"/>
      <c r="H167" s="587"/>
      <c r="I167" s="587"/>
      <c r="J167" s="587"/>
      <c r="K167" s="67"/>
      <c r="M167" s="2"/>
      <c r="N167" s="19"/>
      <c r="O167" s="19"/>
    </row>
    <row r="168" spans="1:17" hidden="1">
      <c r="A168" t="s">
        <v>93</v>
      </c>
      <c r="B168" s="14"/>
      <c r="C168" s="14"/>
      <c r="D168" s="14"/>
      <c r="E168" s="15">
        <f>N166+O166</f>
        <v>442532.66581182566</v>
      </c>
      <c r="H168" s="32"/>
      <c r="I168" s="32"/>
      <c r="J168" s="9"/>
      <c r="K168" s="9"/>
    </row>
    <row r="169" spans="1:17" hidden="1">
      <c r="A169" t="s">
        <v>94</v>
      </c>
      <c r="B169" s="14"/>
      <c r="C169" s="14"/>
      <c r="D169" s="14"/>
      <c r="E169" s="15">
        <f>N166/70*30</f>
        <v>180075.73847388866</v>
      </c>
      <c r="H169" s="33"/>
      <c r="I169" s="32"/>
      <c r="J169" s="9"/>
    </row>
    <row r="170" spans="1:17" hidden="1">
      <c r="A170" t="s">
        <v>32</v>
      </c>
      <c r="B170" s="14"/>
      <c r="C170" s="14"/>
      <c r="D170" s="14"/>
      <c r="E170" s="15">
        <f>SUM(E168:E169)</f>
        <v>622608.40428571426</v>
      </c>
      <c r="H170" s="32"/>
      <c r="I170" s="32"/>
      <c r="J170" s="9"/>
      <c r="K170" s="9"/>
    </row>
    <row r="171" spans="1:17" hidden="1">
      <c r="A171" s="3"/>
      <c r="H171" s="33"/>
      <c r="I171" s="32"/>
      <c r="J171" s="9"/>
    </row>
    <row r="172" spans="1:17" hidden="1"/>
    <row r="173" spans="1:17" ht="15" hidden="1">
      <c r="A173" s="6" t="s">
        <v>25</v>
      </c>
      <c r="B173" s="6"/>
      <c r="C173" s="6"/>
      <c r="D173" s="6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7" hidden="1">
      <c r="A174" t="s">
        <v>62</v>
      </c>
      <c r="B174" s="6"/>
      <c r="C174" s="6"/>
      <c r="D174" s="6"/>
      <c r="F174" t="s">
        <v>67</v>
      </c>
      <c r="G174" t="s">
        <v>61</v>
      </c>
    </row>
    <row r="175" spans="1:17" hidden="1"/>
    <row r="176" spans="1:17" hidden="1"/>
    <row r="177" spans="1:15" hidden="1">
      <c r="C177" t="s">
        <v>133</v>
      </c>
      <c r="E177" s="9">
        <f>E166</f>
        <v>169503.16999999998</v>
      </c>
      <c r="F177">
        <f>E177*9.85</f>
        <v>1669606.2244999998</v>
      </c>
    </row>
    <row r="178" spans="1:15" hidden="1">
      <c r="C178" t="s">
        <v>132</v>
      </c>
      <c r="E178" s="9">
        <f>E168-E177</f>
        <v>273029.49581182568</v>
      </c>
      <c r="F178">
        <f>E178*9.85</f>
        <v>2689340.5337464828</v>
      </c>
    </row>
    <row r="179" spans="1:15" hidden="1">
      <c r="C179" t="s">
        <v>134</v>
      </c>
      <c r="E179" s="9">
        <f>E169</f>
        <v>180075.73847388866</v>
      </c>
      <c r="F179">
        <f>E179*9.85+3674</f>
        <v>1777420.0239678032</v>
      </c>
    </row>
    <row r="180" spans="1:15" hidden="1">
      <c r="E180" s="9">
        <f>SUM(E177:E179)</f>
        <v>622608.40428571426</v>
      </c>
      <c r="F180">
        <f>SUM(F177:F179)</f>
        <v>6136366.7822142858</v>
      </c>
    </row>
    <row r="181" spans="1:15" hidden="1"/>
    <row r="182" spans="1:15" hidden="1">
      <c r="E182">
        <v>6190000</v>
      </c>
      <c r="F182">
        <f>E182-F180</f>
        <v>53633.217785714194</v>
      </c>
    </row>
    <row r="183" spans="1:15" hidden="1">
      <c r="E183">
        <f>E182/E180</f>
        <v>9.9420437587916268</v>
      </c>
    </row>
    <row r="184" spans="1:15" hidden="1"/>
    <row r="185" spans="1:15" ht="15.75">
      <c r="A185" s="113" t="s">
        <v>120</v>
      </c>
      <c r="B185" s="113"/>
      <c r="C185" s="113"/>
      <c r="D185" s="113"/>
      <c r="E185" s="113"/>
      <c r="F185" s="114"/>
      <c r="G185" s="114"/>
      <c r="H185" s="114"/>
      <c r="I185" s="114"/>
      <c r="J185" s="115"/>
      <c r="K185" s="449" t="s">
        <v>109</v>
      </c>
      <c r="L185" s="449"/>
      <c r="M185" s="449"/>
      <c r="N185" s="70"/>
      <c r="O185" s="70"/>
    </row>
    <row r="186" spans="1:15" ht="15.75">
      <c r="A186" s="113" t="s">
        <v>121</v>
      </c>
      <c r="B186" s="113"/>
      <c r="C186" s="113"/>
      <c r="D186" s="113"/>
      <c r="E186" s="113"/>
      <c r="F186" s="114"/>
      <c r="G186" s="114"/>
      <c r="H186" s="114"/>
      <c r="I186" s="114"/>
      <c r="J186" s="116"/>
      <c r="K186" s="449"/>
      <c r="L186" s="449"/>
      <c r="M186" s="449"/>
      <c r="N186" s="70"/>
      <c r="O186" s="70"/>
    </row>
    <row r="187" spans="1:15" ht="15.75">
      <c r="A187" s="113"/>
      <c r="B187" s="113"/>
      <c r="C187" s="113"/>
      <c r="D187" s="113"/>
      <c r="E187" s="113"/>
      <c r="F187" s="114"/>
      <c r="G187" s="114"/>
      <c r="H187" s="114"/>
      <c r="I187" s="114"/>
      <c r="J187" s="116"/>
      <c r="K187" s="116"/>
      <c r="L187" s="116"/>
      <c r="M187" s="117" t="s">
        <v>110</v>
      </c>
      <c r="N187" s="70"/>
      <c r="O187" s="70"/>
    </row>
    <row r="188" spans="1:15" ht="15.75">
      <c r="A188" s="113" t="s">
        <v>122</v>
      </c>
      <c r="B188" s="113"/>
      <c r="C188" s="113"/>
      <c r="D188" s="113"/>
      <c r="E188" s="113"/>
      <c r="F188" s="114"/>
      <c r="G188" s="114"/>
      <c r="H188" s="114"/>
      <c r="I188" s="114"/>
      <c r="J188" s="118"/>
      <c r="K188" s="450" t="s">
        <v>111</v>
      </c>
      <c r="L188" s="451"/>
      <c r="M188" s="119">
        <v>301017</v>
      </c>
      <c r="N188" s="70"/>
      <c r="O188" s="70"/>
    </row>
    <row r="189" spans="1:15" ht="18.75">
      <c r="A189" s="113"/>
      <c r="B189" s="452" t="s">
        <v>250</v>
      </c>
      <c r="C189" s="452"/>
      <c r="D189" s="452"/>
      <c r="E189" s="452"/>
      <c r="F189" s="452"/>
      <c r="G189" s="452"/>
      <c r="H189" s="452"/>
      <c r="I189" s="452"/>
      <c r="J189" s="452"/>
      <c r="K189" s="115"/>
      <c r="L189" s="120" t="s">
        <v>112</v>
      </c>
      <c r="M189" s="121"/>
      <c r="N189" s="70"/>
      <c r="O189" s="70"/>
    </row>
    <row r="190" spans="1:15" ht="15.75">
      <c r="A190" s="113"/>
      <c r="B190" s="113"/>
      <c r="C190" s="113"/>
      <c r="D190" s="113"/>
      <c r="E190" s="122" t="s">
        <v>113</v>
      </c>
      <c r="F190" s="453" t="s">
        <v>114</v>
      </c>
      <c r="G190" s="453"/>
      <c r="H190" s="114"/>
      <c r="I190" s="114"/>
      <c r="J190" s="454" t="s">
        <v>115</v>
      </c>
      <c r="K190" s="454"/>
      <c r="L190" s="454"/>
      <c r="M190" s="454"/>
      <c r="N190" s="70"/>
      <c r="O190" s="70"/>
    </row>
    <row r="191" spans="1:15" ht="15.75">
      <c r="A191" s="455" t="s">
        <v>116</v>
      </c>
      <c r="B191" s="455"/>
      <c r="C191" s="455"/>
      <c r="D191" s="164"/>
      <c r="E191" s="119">
        <v>3</v>
      </c>
      <c r="F191" s="456" t="s">
        <v>277</v>
      </c>
      <c r="G191" s="456"/>
      <c r="H191" s="114"/>
      <c r="I191" s="114"/>
      <c r="J191" s="115" t="s">
        <v>117</v>
      </c>
      <c r="K191" s="115"/>
      <c r="L191" s="115"/>
      <c r="M191" s="115"/>
      <c r="N191" s="70"/>
      <c r="O191" s="70"/>
    </row>
    <row r="192" spans="1:15" ht="15.75">
      <c r="A192" s="462" t="s">
        <v>278</v>
      </c>
      <c r="B192" s="462"/>
      <c r="C192" s="462"/>
      <c r="D192" s="462"/>
      <c r="E192" s="462"/>
      <c r="F192" s="462"/>
      <c r="G192" s="462"/>
      <c r="H192" s="114"/>
      <c r="I192" s="114"/>
      <c r="J192" s="115" t="s">
        <v>118</v>
      </c>
      <c r="K192" s="115"/>
      <c r="L192" s="124">
        <f>B213</f>
        <v>28.060000000000002</v>
      </c>
      <c r="M192" s="115" t="s">
        <v>119</v>
      </c>
      <c r="N192" s="70"/>
      <c r="O192" s="70"/>
    </row>
    <row r="193" spans="1:16" ht="15.75">
      <c r="A193" s="465"/>
      <c r="B193" s="465"/>
      <c r="C193" s="465"/>
      <c r="D193" s="465"/>
      <c r="E193" s="465"/>
      <c r="F193" s="465"/>
      <c r="G193" s="465"/>
      <c r="H193" s="126"/>
      <c r="I193" s="126"/>
      <c r="J193" s="127" t="s">
        <v>127</v>
      </c>
      <c r="K193" s="127"/>
      <c r="L193" s="127"/>
      <c r="M193" s="127"/>
      <c r="N193" s="385"/>
      <c r="O193" s="70"/>
    </row>
    <row r="194" spans="1:16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</row>
    <row r="195" spans="1:16">
      <c r="A195" s="502" t="s">
        <v>176</v>
      </c>
      <c r="B195" s="486" t="s">
        <v>10</v>
      </c>
      <c r="C195" s="487" t="s">
        <v>70</v>
      </c>
      <c r="D195" s="491" t="s">
        <v>230</v>
      </c>
      <c r="E195" s="506" t="s">
        <v>232</v>
      </c>
      <c r="F195" s="567" t="s">
        <v>97</v>
      </c>
      <c r="G195" s="567"/>
      <c r="H195" s="567"/>
      <c r="I195" s="567"/>
      <c r="J195" s="567"/>
      <c r="K195" s="567"/>
      <c r="L195" s="567"/>
      <c r="M195" s="567"/>
      <c r="N195" s="565" t="s">
        <v>97</v>
      </c>
      <c r="O195" s="481" t="s">
        <v>148</v>
      </c>
    </row>
    <row r="196" spans="1:16" ht="25.5">
      <c r="A196" s="503"/>
      <c r="B196" s="486"/>
      <c r="C196" s="487"/>
      <c r="D196" s="492"/>
      <c r="E196" s="507"/>
      <c r="F196" s="73" t="s">
        <v>16</v>
      </c>
      <c r="G196" s="73" t="s">
        <v>17</v>
      </c>
      <c r="H196" s="73" t="s">
        <v>59</v>
      </c>
      <c r="I196" s="73" t="s">
        <v>41</v>
      </c>
      <c r="J196" s="73" t="s">
        <v>42</v>
      </c>
      <c r="K196" s="73" t="s">
        <v>45</v>
      </c>
      <c r="L196" s="73" t="s">
        <v>52</v>
      </c>
      <c r="M196" s="73" t="s">
        <v>44</v>
      </c>
      <c r="N196" s="566"/>
      <c r="O196" s="481"/>
    </row>
    <row r="197" spans="1:16">
      <c r="A197" s="482" t="s">
        <v>18</v>
      </c>
      <c r="B197" s="482"/>
      <c r="C197" s="482"/>
      <c r="D197" s="482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386"/>
    </row>
    <row r="198" spans="1:16">
      <c r="A198" s="78" t="s">
        <v>19</v>
      </c>
      <c r="B198" s="76">
        <v>1</v>
      </c>
      <c r="C198" s="387">
        <v>18899</v>
      </c>
      <c r="D198" s="387"/>
      <c r="E198" s="399">
        <f>B198*C198</f>
        <v>18899</v>
      </c>
      <c r="F198" s="71"/>
      <c r="G198" s="71"/>
      <c r="H198" s="71"/>
      <c r="I198" s="71"/>
      <c r="J198" s="71">
        <f>E198*25%</f>
        <v>4724.75</v>
      </c>
      <c r="K198" s="71">
        <f>J198+E198</f>
        <v>23623.75</v>
      </c>
      <c r="L198" s="71">
        <f>K198*80%</f>
        <v>18899</v>
      </c>
      <c r="M198" s="71">
        <f>L198+K198</f>
        <v>42522.75</v>
      </c>
      <c r="N198" s="71">
        <f>M198</f>
        <v>42522.75</v>
      </c>
      <c r="O198" s="386"/>
    </row>
    <row r="199" spans="1:16" ht="38.25">
      <c r="A199" s="75" t="s">
        <v>192</v>
      </c>
      <c r="B199" s="74">
        <v>1</v>
      </c>
      <c r="C199" s="236">
        <v>15309</v>
      </c>
      <c r="D199" s="236"/>
      <c r="E199" s="400">
        <f>B199*C199</f>
        <v>15309</v>
      </c>
      <c r="F199" s="79"/>
      <c r="G199" s="79"/>
      <c r="H199" s="79"/>
      <c r="I199" s="79"/>
      <c r="J199" s="79">
        <f>E199*25%</f>
        <v>3827.25</v>
      </c>
      <c r="K199" s="79">
        <f>J199+E199</f>
        <v>19136.25</v>
      </c>
      <c r="L199" s="79">
        <f>K199*80%</f>
        <v>15309</v>
      </c>
      <c r="M199" s="79">
        <f>L199+K199</f>
        <v>34445.25</v>
      </c>
      <c r="N199" s="79">
        <f>M199</f>
        <v>34445.25</v>
      </c>
      <c r="O199" s="386"/>
    </row>
    <row r="200" spans="1:16" ht="38.25">
      <c r="A200" s="75" t="s">
        <v>189</v>
      </c>
      <c r="B200" s="74">
        <v>0.5</v>
      </c>
      <c r="C200" s="236">
        <v>15309</v>
      </c>
      <c r="D200" s="236"/>
      <c r="E200" s="400">
        <f>B200*C200</f>
        <v>7654.5</v>
      </c>
      <c r="F200" s="79"/>
      <c r="G200" s="79"/>
      <c r="H200" s="79"/>
      <c r="I200" s="79"/>
      <c r="J200" s="79">
        <f>E200*25%</f>
        <v>1913.625</v>
      </c>
      <c r="K200" s="79">
        <f>J200+E200</f>
        <v>9568.125</v>
      </c>
      <c r="L200" s="79">
        <f>K200*80%</f>
        <v>7654.5</v>
      </c>
      <c r="M200" s="79">
        <f>L200+K200</f>
        <v>17222.625</v>
      </c>
      <c r="N200" s="79">
        <f>M200</f>
        <v>17222.625</v>
      </c>
      <c r="O200" s="386"/>
    </row>
    <row r="201" spans="1:16">
      <c r="A201" s="98" t="s">
        <v>15</v>
      </c>
      <c r="B201" s="100">
        <f>SUM(B198:B200)</f>
        <v>2.5</v>
      </c>
      <c r="C201" s="388"/>
      <c r="D201" s="388"/>
      <c r="E201" s="401">
        <f>SUM(E198:E200)</f>
        <v>41862.5</v>
      </c>
      <c r="F201" s="389"/>
      <c r="G201" s="389"/>
      <c r="H201" s="389"/>
      <c r="I201" s="389"/>
      <c r="J201" s="389">
        <f>SUM(J198:J200)</f>
        <v>10465.625</v>
      </c>
      <c r="K201" s="389">
        <f>SUM(K198:K200)</f>
        <v>52328.125</v>
      </c>
      <c r="L201" s="389">
        <f>SUM(L198:L200)</f>
        <v>41862.5</v>
      </c>
      <c r="M201" s="389">
        <f>SUM(M198:M200)</f>
        <v>94190.625</v>
      </c>
      <c r="N201" s="389">
        <f>SUM(N198:N200)</f>
        <v>94190.625</v>
      </c>
      <c r="O201" s="389"/>
      <c r="P201" s="356">
        <f>N201+N201/70*30+O201</f>
        <v>134558.03571428571</v>
      </c>
    </row>
    <row r="202" spans="1:16">
      <c r="A202" s="483" t="s">
        <v>22</v>
      </c>
      <c r="B202" s="483"/>
      <c r="C202" s="483"/>
      <c r="D202" s="483"/>
      <c r="E202" s="483"/>
      <c r="F202" s="483"/>
      <c r="G202" s="483"/>
      <c r="H202" s="483"/>
      <c r="I202" s="483"/>
      <c r="J202" s="483"/>
      <c r="K202" s="483"/>
      <c r="L202" s="483"/>
      <c r="M202" s="483"/>
      <c r="N202" s="483"/>
      <c r="O202" s="386"/>
      <c r="P202" s="222"/>
    </row>
    <row r="203" spans="1:16">
      <c r="A203" s="75" t="s">
        <v>187</v>
      </c>
      <c r="B203" s="137">
        <v>15.56</v>
      </c>
      <c r="C203" s="137">
        <v>12600</v>
      </c>
      <c r="D203" s="137">
        <v>1.17</v>
      </c>
      <c r="E203" s="325">
        <f>B203*C203*D203</f>
        <v>229385.52</v>
      </c>
      <c r="F203" s="325"/>
      <c r="G203" s="325"/>
      <c r="H203" s="325">
        <v>11000</v>
      </c>
      <c r="I203" s="325">
        <v>7813</v>
      </c>
      <c r="J203" s="325">
        <f>E203*25%</f>
        <v>57346.38</v>
      </c>
      <c r="K203" s="325">
        <f>E203+H203+I203+J203</f>
        <v>305544.89999999997</v>
      </c>
      <c r="L203" s="325">
        <f>K203*80%</f>
        <v>244435.91999999998</v>
      </c>
      <c r="M203" s="325">
        <f>E203+H203+I203+J203+L203</f>
        <v>549980.81999999995</v>
      </c>
      <c r="N203" s="325">
        <f>M203</f>
        <v>549980.81999999995</v>
      </c>
      <c r="O203" s="390"/>
      <c r="P203" s="222"/>
    </row>
    <row r="204" spans="1:16">
      <c r="A204" s="98" t="s">
        <v>15</v>
      </c>
      <c r="B204" s="100">
        <f>B203</f>
        <v>15.56</v>
      </c>
      <c r="C204" s="100"/>
      <c r="D204" s="100"/>
      <c r="E204" s="391">
        <f>E203</f>
        <v>229385.52</v>
      </c>
      <c r="F204" s="391"/>
      <c r="G204" s="391"/>
      <c r="H204" s="391">
        <f>H203</f>
        <v>11000</v>
      </c>
      <c r="I204" s="391">
        <f t="shared" ref="I204:N204" si="4">I203</f>
        <v>7813</v>
      </c>
      <c r="J204" s="391">
        <f t="shared" si="4"/>
        <v>57346.38</v>
      </c>
      <c r="K204" s="391">
        <f t="shared" si="4"/>
        <v>305544.89999999997</v>
      </c>
      <c r="L204" s="391">
        <f t="shared" si="4"/>
        <v>244435.91999999998</v>
      </c>
      <c r="M204" s="391">
        <f t="shared" si="4"/>
        <v>549980.81999999995</v>
      </c>
      <c r="N204" s="391">
        <f t="shared" si="4"/>
        <v>549980.81999999995</v>
      </c>
      <c r="O204" s="391"/>
      <c r="P204" s="356">
        <f>N204/70*30+N204</f>
        <v>785686.88571428566</v>
      </c>
    </row>
    <row r="205" spans="1:16">
      <c r="A205" s="99" t="s">
        <v>190</v>
      </c>
      <c r="B205" s="100">
        <f>B204+B201</f>
        <v>18.060000000000002</v>
      </c>
      <c r="C205" s="100"/>
      <c r="D205" s="100"/>
      <c r="E205" s="391">
        <f>E204+E201</f>
        <v>271248.02</v>
      </c>
      <c r="F205" s="391"/>
      <c r="G205" s="391"/>
      <c r="H205" s="391">
        <f t="shared" ref="H205:N205" si="5">H204+H201</f>
        <v>11000</v>
      </c>
      <c r="I205" s="391">
        <f t="shared" si="5"/>
        <v>7813</v>
      </c>
      <c r="J205" s="391">
        <f t="shared" si="5"/>
        <v>67812.005000000005</v>
      </c>
      <c r="K205" s="391">
        <f t="shared" si="5"/>
        <v>357873.02499999997</v>
      </c>
      <c r="L205" s="391">
        <f t="shared" si="5"/>
        <v>286298.42</v>
      </c>
      <c r="M205" s="391">
        <f t="shared" si="5"/>
        <v>644171.44499999995</v>
      </c>
      <c r="N205" s="391">
        <f t="shared" si="5"/>
        <v>644171.44499999995</v>
      </c>
      <c r="O205" s="391"/>
      <c r="P205" s="356"/>
    </row>
    <row r="206" spans="1:16">
      <c r="A206" s="482" t="s">
        <v>4</v>
      </c>
      <c r="B206" s="482"/>
      <c r="C206" s="482"/>
      <c r="D206" s="482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393"/>
      <c r="P206" s="222"/>
    </row>
    <row r="207" spans="1:16">
      <c r="A207" s="59" t="s">
        <v>251</v>
      </c>
      <c r="B207" s="74">
        <v>2</v>
      </c>
      <c r="C207" s="236">
        <v>5253</v>
      </c>
      <c r="D207" s="236"/>
      <c r="E207" s="313">
        <f>B207*C207</f>
        <v>10506</v>
      </c>
      <c r="F207" s="313">
        <f>C207/165.5*61*35%*B207</f>
        <v>1355.3057401812689</v>
      </c>
      <c r="G207" s="313">
        <f>C207*12/1986*288/12*B207</f>
        <v>1523.5287009063443</v>
      </c>
      <c r="H207" s="313"/>
      <c r="I207" s="313"/>
      <c r="J207" s="313">
        <f>(E207+F207+G207)*25%</f>
        <v>3346.2086102719036</v>
      </c>
      <c r="K207" s="313">
        <f>SUM(E207:J207)</f>
        <v>16731.043051359517</v>
      </c>
      <c r="L207" s="313">
        <f>K207*80%</f>
        <v>13384.834441087614</v>
      </c>
      <c r="M207" s="313">
        <f>L207+K207</f>
        <v>30115.877492447129</v>
      </c>
      <c r="N207" s="313">
        <f>M207</f>
        <v>30115.877492447129</v>
      </c>
      <c r="O207" s="313"/>
      <c r="P207" s="222"/>
    </row>
    <row r="208" spans="1:16">
      <c r="A208" s="59" t="s">
        <v>3</v>
      </c>
      <c r="B208" s="74">
        <v>0.5</v>
      </c>
      <c r="C208" s="236">
        <v>6944</v>
      </c>
      <c r="D208" s="236"/>
      <c r="E208" s="313">
        <f>B208*C208</f>
        <v>3472</v>
      </c>
      <c r="F208" s="79"/>
      <c r="G208" s="79"/>
      <c r="H208" s="79"/>
      <c r="I208" s="79"/>
      <c r="J208" s="313">
        <f>E208*25%</f>
        <v>868</v>
      </c>
      <c r="K208" s="313">
        <f>J208+E208</f>
        <v>4340</v>
      </c>
      <c r="L208" s="313">
        <f>K208*80%</f>
        <v>3472</v>
      </c>
      <c r="M208" s="313">
        <f>L208+K208</f>
        <v>7812</v>
      </c>
      <c r="N208" s="313">
        <f>M208</f>
        <v>7812</v>
      </c>
      <c r="O208" s="313"/>
      <c r="P208" s="222"/>
    </row>
    <row r="209" spans="1:16" ht="22.5">
      <c r="A209" s="398" t="s">
        <v>53</v>
      </c>
      <c r="B209" s="74">
        <v>3</v>
      </c>
      <c r="C209" s="236">
        <v>5253</v>
      </c>
      <c r="D209" s="236"/>
      <c r="E209" s="313">
        <f>B209*C209</f>
        <v>15759</v>
      </c>
      <c r="F209" s="313"/>
      <c r="G209" s="313"/>
      <c r="H209" s="313"/>
      <c r="I209" s="313"/>
      <c r="J209" s="313">
        <f>E209*25%</f>
        <v>3939.75</v>
      </c>
      <c r="K209" s="313">
        <f>SUM(E209:J209)</f>
        <v>19698.75</v>
      </c>
      <c r="L209" s="313">
        <f>K209*80%</f>
        <v>15759</v>
      </c>
      <c r="M209" s="313">
        <f>L209+K209</f>
        <v>35457.75</v>
      </c>
      <c r="N209" s="313">
        <f>M209</f>
        <v>35457.75</v>
      </c>
      <c r="O209" s="313">
        <f>O214*B209*1.8-(M209/70*30+M209)</f>
        <v>10258.071428571428</v>
      </c>
      <c r="P209" s="222"/>
    </row>
    <row r="210" spans="1:16">
      <c r="A210" s="57" t="s">
        <v>245</v>
      </c>
      <c r="B210" s="74">
        <v>4</v>
      </c>
      <c r="C210" s="236">
        <v>5253</v>
      </c>
      <c r="D210" s="236"/>
      <c r="E210" s="313">
        <f>B210*C210</f>
        <v>21012</v>
      </c>
      <c r="F210" s="313">
        <f>C210/165.5*61*35%*B210</f>
        <v>2710.6114803625378</v>
      </c>
      <c r="G210" s="313">
        <f>C210*12/1986*288/12*B210</f>
        <v>3047.0574018126886</v>
      </c>
      <c r="H210" s="313"/>
      <c r="I210" s="313"/>
      <c r="J210" s="313">
        <f>E210*25%</f>
        <v>5253</v>
      </c>
      <c r="K210" s="313">
        <f>SUM(E210:J210)</f>
        <v>32022.668882175229</v>
      </c>
      <c r="L210" s="313">
        <f>K210*80%</f>
        <v>25618.135105740184</v>
      </c>
      <c r="M210" s="313">
        <f>L210+K210</f>
        <v>57640.803987915409</v>
      </c>
      <c r="N210" s="313">
        <f>M210</f>
        <v>57640.803987915409</v>
      </c>
      <c r="O210" s="313"/>
      <c r="P210" s="222"/>
    </row>
    <row r="211" spans="1:16" ht="33.75">
      <c r="A211" s="129" t="s">
        <v>252</v>
      </c>
      <c r="B211" s="74">
        <v>0.5</v>
      </c>
      <c r="C211" s="236">
        <v>5253</v>
      </c>
      <c r="D211" s="236"/>
      <c r="E211" s="313">
        <f>B211*C211</f>
        <v>2626.5</v>
      </c>
      <c r="F211" s="313"/>
      <c r="G211" s="313"/>
      <c r="H211" s="313"/>
      <c r="I211" s="313"/>
      <c r="J211" s="313">
        <f>(E211+F211+G211)*25%</f>
        <v>656.625</v>
      </c>
      <c r="K211" s="313">
        <f>SUM(E211:J211)</f>
        <v>3283.125</v>
      </c>
      <c r="L211" s="313">
        <f>K211*80%</f>
        <v>2626.5</v>
      </c>
      <c r="M211" s="313">
        <f>L211+K211</f>
        <v>5909.625</v>
      </c>
      <c r="N211" s="313">
        <f>M211</f>
        <v>5909.625</v>
      </c>
      <c r="O211" s="313">
        <f>O214*B211*1.8-(M211/70*30+M211)</f>
        <v>1709.6785714285725</v>
      </c>
      <c r="P211" s="222"/>
    </row>
    <row r="212" spans="1:16">
      <c r="A212" s="394"/>
      <c r="B212" s="392">
        <f>SUM(B207:B211)</f>
        <v>10</v>
      </c>
      <c r="C212" s="392"/>
      <c r="D212" s="392"/>
      <c r="E212" s="391">
        <f>SUM(E207:E211)</f>
        <v>53375.5</v>
      </c>
      <c r="F212" s="391">
        <f t="shared" ref="F212:O212" si="6">SUM(F207:F211)</f>
        <v>4065.9172205438067</v>
      </c>
      <c r="G212" s="391">
        <f t="shared" si="6"/>
        <v>4570.5861027190331</v>
      </c>
      <c r="H212" s="391"/>
      <c r="I212" s="391"/>
      <c r="J212" s="391">
        <f t="shared" si="6"/>
        <v>14063.583610271904</v>
      </c>
      <c r="K212" s="391">
        <f t="shared" si="6"/>
        <v>76075.586933534752</v>
      </c>
      <c r="L212" s="391">
        <f t="shared" si="6"/>
        <v>60860.469546827801</v>
      </c>
      <c r="M212" s="391">
        <f t="shared" si="6"/>
        <v>136936.05648036255</v>
      </c>
      <c r="N212" s="391">
        <f t="shared" si="6"/>
        <v>136936.05648036255</v>
      </c>
      <c r="O212" s="391">
        <f t="shared" si="6"/>
        <v>11967.75</v>
      </c>
      <c r="P212" s="222">
        <f>N212+N212/70*30+O212</f>
        <v>207590.68782908935</v>
      </c>
    </row>
    <row r="213" spans="1:16">
      <c r="A213" s="101" t="s">
        <v>5</v>
      </c>
      <c r="B213" s="326">
        <f>B205+B212</f>
        <v>28.060000000000002</v>
      </c>
      <c r="C213" s="326"/>
      <c r="D213" s="326"/>
      <c r="E213" s="326">
        <f>E205+E212</f>
        <v>324623.52</v>
      </c>
      <c r="F213" s="326">
        <f t="shared" ref="F213:O213" si="7">F205+F212</f>
        <v>4065.9172205438067</v>
      </c>
      <c r="G213" s="326">
        <f t="shared" si="7"/>
        <v>4570.5861027190331</v>
      </c>
      <c r="H213" s="326">
        <f t="shared" si="7"/>
        <v>11000</v>
      </c>
      <c r="I213" s="326">
        <f t="shared" si="7"/>
        <v>7813</v>
      </c>
      <c r="J213" s="326">
        <f t="shared" si="7"/>
        <v>81875.588610271909</v>
      </c>
      <c r="K213" s="326">
        <f t="shared" si="7"/>
        <v>433948.61193353473</v>
      </c>
      <c r="L213" s="326">
        <f t="shared" si="7"/>
        <v>347158.88954682776</v>
      </c>
      <c r="M213" s="326">
        <f t="shared" si="7"/>
        <v>781107.50148036249</v>
      </c>
      <c r="N213" s="326">
        <f t="shared" si="7"/>
        <v>781107.50148036249</v>
      </c>
      <c r="O213" s="326">
        <f t="shared" si="7"/>
        <v>11967.75</v>
      </c>
      <c r="P213" s="222"/>
    </row>
    <row r="214" spans="1:16">
      <c r="A214" s="80" t="s">
        <v>95</v>
      </c>
      <c r="B214" s="70"/>
      <c r="C214" s="70"/>
      <c r="D214" s="70"/>
      <c r="E214" s="70"/>
      <c r="F214" s="294"/>
      <c r="G214" s="500" t="s">
        <v>161</v>
      </c>
      <c r="H214" s="500"/>
      <c r="I214" s="500"/>
      <c r="J214" s="500"/>
      <c r="K214" s="81"/>
      <c r="L214" s="70"/>
      <c r="M214" s="395"/>
      <c r="N214" s="396" t="s">
        <v>183</v>
      </c>
      <c r="O214" s="397">
        <v>11280</v>
      </c>
    </row>
    <row r="215" spans="1:16">
      <c r="A215" s="70" t="s">
        <v>93</v>
      </c>
      <c r="B215" s="70"/>
      <c r="C215" s="70"/>
      <c r="D215" s="70"/>
      <c r="E215" s="297">
        <f>N205</f>
        <v>644171.44499999995</v>
      </c>
      <c r="F215" s="70"/>
      <c r="G215" s="70" t="s">
        <v>93</v>
      </c>
      <c r="H215" s="82"/>
      <c r="I215" s="82"/>
      <c r="J215" s="69"/>
      <c r="K215" s="297">
        <f>N212+O212</f>
        <v>148903.80648036255</v>
      </c>
      <c r="L215" s="70"/>
      <c r="M215" s="70"/>
      <c r="N215" s="70"/>
      <c r="O215" s="70"/>
    </row>
    <row r="216" spans="1:16">
      <c r="A216" s="70" t="s">
        <v>94</v>
      </c>
      <c r="B216" s="70"/>
      <c r="C216" s="70"/>
      <c r="D216" s="70"/>
      <c r="E216" s="297">
        <f>N205/70*30</f>
        <v>276073.47642857145</v>
      </c>
      <c r="F216" s="70"/>
      <c r="G216" s="70" t="s">
        <v>94</v>
      </c>
      <c r="H216" s="53"/>
      <c r="I216" s="82"/>
      <c r="J216" s="69"/>
      <c r="K216" s="297">
        <f>N212/70*30</f>
        <v>58686.881348726805</v>
      </c>
      <c r="L216" s="70"/>
      <c r="M216" s="70"/>
      <c r="N216" s="70"/>
      <c r="O216" s="70"/>
    </row>
    <row r="217" spans="1:16">
      <c r="A217" s="70" t="s">
        <v>32</v>
      </c>
      <c r="B217" s="70"/>
      <c r="C217" s="70"/>
      <c r="D217" s="70"/>
      <c r="E217" s="297">
        <f>SUM(E215:E216)</f>
        <v>920244.92142857146</v>
      </c>
      <c r="F217" s="70"/>
      <c r="G217" s="70" t="s">
        <v>32</v>
      </c>
      <c r="H217" s="82"/>
      <c r="I217" s="82"/>
      <c r="J217" s="69"/>
      <c r="K217" s="297">
        <f>SUM(K215:K216)</f>
        <v>207590.68782908935</v>
      </c>
      <c r="L217" s="70"/>
      <c r="M217" s="70"/>
      <c r="N217" s="70"/>
      <c r="O217" s="70"/>
    </row>
    <row r="218" spans="1:16">
      <c r="A218" s="296"/>
      <c r="B218" s="70"/>
      <c r="C218" s="70"/>
      <c r="D218" s="70"/>
      <c r="E218" s="70"/>
      <c r="F218" s="70"/>
      <c r="G218" s="70"/>
      <c r="H218" s="53"/>
      <c r="I218" s="82"/>
      <c r="J218" s="69"/>
      <c r="K218" s="70"/>
      <c r="L218" s="70"/>
      <c r="M218" s="70"/>
      <c r="N218" s="70"/>
      <c r="O218" s="70"/>
    </row>
    <row r="219" spans="1:16">
      <c r="A219" s="564" t="s">
        <v>175</v>
      </c>
      <c r="B219" s="564"/>
      <c r="C219" s="564"/>
      <c r="D219" s="413"/>
      <c r="E219" s="70"/>
      <c r="F219" s="70" t="s">
        <v>67</v>
      </c>
      <c r="G219" s="70" t="s">
        <v>61</v>
      </c>
      <c r="H219" s="70"/>
      <c r="I219" s="70"/>
      <c r="J219" s="70"/>
      <c r="K219" s="70"/>
      <c r="L219" s="70"/>
      <c r="M219" s="70"/>
      <c r="N219" s="70"/>
      <c r="O219" s="70"/>
    </row>
    <row r="221" spans="1:16" ht="15.75">
      <c r="A221" s="113" t="s">
        <v>120</v>
      </c>
      <c r="B221" s="113"/>
      <c r="C221" s="113"/>
      <c r="D221" s="113"/>
      <c r="E221" s="113"/>
      <c r="F221" s="114"/>
      <c r="G221" s="114"/>
      <c r="H221" s="114"/>
      <c r="I221" s="114"/>
      <c r="J221" s="115"/>
      <c r="K221" s="449" t="s">
        <v>109</v>
      </c>
      <c r="L221" s="449"/>
      <c r="M221" s="449"/>
      <c r="N221" s="70"/>
      <c r="O221" s="70"/>
    </row>
    <row r="222" spans="1:16" ht="15.75">
      <c r="A222" s="113" t="s">
        <v>121</v>
      </c>
      <c r="B222" s="113"/>
      <c r="C222" s="113"/>
      <c r="D222" s="113"/>
      <c r="E222" s="113"/>
      <c r="F222" s="114"/>
      <c r="G222" s="114"/>
      <c r="H222" s="114"/>
      <c r="I222" s="114"/>
      <c r="J222" s="116"/>
      <c r="K222" s="449"/>
      <c r="L222" s="449"/>
      <c r="M222" s="449"/>
      <c r="N222" s="70"/>
      <c r="O222" s="70"/>
    </row>
    <row r="223" spans="1:16" ht="15.75">
      <c r="A223" s="113"/>
      <c r="B223" s="113"/>
      <c r="C223" s="113"/>
      <c r="D223" s="113"/>
      <c r="E223" s="113"/>
      <c r="F223" s="114"/>
      <c r="G223" s="114"/>
      <c r="H223" s="114"/>
      <c r="I223" s="114"/>
      <c r="J223" s="116"/>
      <c r="K223" s="116"/>
      <c r="L223" s="116"/>
      <c r="M223" s="117" t="s">
        <v>110</v>
      </c>
      <c r="N223" s="70"/>
      <c r="O223" s="70"/>
    </row>
    <row r="224" spans="1:16" ht="15.75">
      <c r="A224" s="113" t="s">
        <v>122</v>
      </c>
      <c r="B224" s="113"/>
      <c r="C224" s="113"/>
      <c r="D224" s="113"/>
      <c r="E224" s="113"/>
      <c r="F224" s="114"/>
      <c r="G224" s="114"/>
      <c r="H224" s="114"/>
      <c r="I224" s="114"/>
      <c r="J224" s="118"/>
      <c r="K224" s="450" t="s">
        <v>111</v>
      </c>
      <c r="L224" s="451"/>
      <c r="M224" s="119">
        <v>301017</v>
      </c>
      <c r="N224" s="70"/>
      <c r="O224" s="70"/>
    </row>
    <row r="225" spans="1:15" ht="18.75">
      <c r="A225" s="113"/>
      <c r="B225" s="452" t="s">
        <v>250</v>
      </c>
      <c r="C225" s="452"/>
      <c r="D225" s="452"/>
      <c r="E225" s="452"/>
      <c r="F225" s="452"/>
      <c r="G225" s="452"/>
      <c r="H225" s="452"/>
      <c r="I225" s="452"/>
      <c r="J225" s="452"/>
      <c r="K225" s="115"/>
      <c r="L225" s="120" t="s">
        <v>112</v>
      </c>
      <c r="M225" s="121"/>
      <c r="N225" s="70"/>
      <c r="O225" s="70"/>
    </row>
    <row r="226" spans="1:15" ht="15.75">
      <c r="A226" s="113"/>
      <c r="B226" s="113"/>
      <c r="C226" s="113"/>
      <c r="D226" s="113"/>
      <c r="E226" s="122" t="s">
        <v>113</v>
      </c>
      <c r="F226" s="453" t="s">
        <v>114</v>
      </c>
      <c r="G226" s="453"/>
      <c r="H226" s="114"/>
      <c r="I226" s="114"/>
      <c r="J226" s="454" t="s">
        <v>115</v>
      </c>
      <c r="K226" s="454"/>
      <c r="L226" s="454"/>
      <c r="M226" s="454"/>
      <c r="N226" s="70"/>
      <c r="O226" s="70"/>
    </row>
    <row r="227" spans="1:15" ht="15.75">
      <c r="A227" s="455" t="s">
        <v>116</v>
      </c>
      <c r="B227" s="455"/>
      <c r="C227" s="455"/>
      <c r="D227" s="164"/>
      <c r="E227" s="119">
        <v>4</v>
      </c>
      <c r="F227" s="456" t="s">
        <v>286</v>
      </c>
      <c r="G227" s="456"/>
      <c r="H227" s="114"/>
      <c r="I227" s="114"/>
      <c r="J227" s="115" t="s">
        <v>117</v>
      </c>
      <c r="K227" s="115"/>
      <c r="L227" s="115"/>
      <c r="M227" s="115"/>
      <c r="N227" s="70"/>
      <c r="O227" s="70"/>
    </row>
    <row r="228" spans="1:15" ht="15.75">
      <c r="A228" s="462" t="s">
        <v>285</v>
      </c>
      <c r="B228" s="462"/>
      <c r="C228" s="462"/>
      <c r="D228" s="462"/>
      <c r="E228" s="462"/>
      <c r="F228" s="462"/>
      <c r="G228" s="462"/>
      <c r="H228" s="114"/>
      <c r="I228" s="114"/>
      <c r="J228" s="115" t="s">
        <v>118</v>
      </c>
      <c r="K228" s="115"/>
      <c r="L228" s="124">
        <f>B249</f>
        <v>29.22</v>
      </c>
      <c r="M228" s="115" t="s">
        <v>119</v>
      </c>
      <c r="N228" s="70"/>
      <c r="O228" s="70"/>
    </row>
    <row r="229" spans="1:15" ht="15.75">
      <c r="A229" s="465"/>
      <c r="B229" s="465"/>
      <c r="C229" s="465"/>
      <c r="D229" s="465"/>
      <c r="E229" s="465"/>
      <c r="F229" s="465"/>
      <c r="G229" s="465"/>
      <c r="H229" s="126"/>
      <c r="I229" s="126"/>
      <c r="J229" s="127" t="s">
        <v>127</v>
      </c>
      <c r="K229" s="127"/>
      <c r="L229" s="127"/>
      <c r="M229" s="127"/>
      <c r="N229" s="385"/>
      <c r="O229" s="70"/>
    </row>
    <row r="230" spans="1:1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</row>
    <row r="231" spans="1:15">
      <c r="A231" s="502" t="s">
        <v>176</v>
      </c>
      <c r="B231" s="486" t="s">
        <v>10</v>
      </c>
      <c r="C231" s="487" t="s">
        <v>70</v>
      </c>
      <c r="D231" s="491" t="s">
        <v>230</v>
      </c>
      <c r="E231" s="506" t="s">
        <v>232</v>
      </c>
      <c r="F231" s="567" t="s">
        <v>97</v>
      </c>
      <c r="G231" s="567"/>
      <c r="H231" s="567"/>
      <c r="I231" s="567"/>
      <c r="J231" s="567"/>
      <c r="K231" s="567"/>
      <c r="L231" s="567"/>
      <c r="M231" s="567"/>
      <c r="N231" s="565" t="s">
        <v>97</v>
      </c>
      <c r="O231" s="481" t="s">
        <v>148</v>
      </c>
    </row>
    <row r="232" spans="1:15" ht="25.5">
      <c r="A232" s="503"/>
      <c r="B232" s="486"/>
      <c r="C232" s="487"/>
      <c r="D232" s="492"/>
      <c r="E232" s="507"/>
      <c r="F232" s="73" t="s">
        <v>16</v>
      </c>
      <c r="G232" s="73" t="s">
        <v>17</v>
      </c>
      <c r="H232" s="73" t="s">
        <v>59</v>
      </c>
      <c r="I232" s="73" t="s">
        <v>41</v>
      </c>
      <c r="J232" s="73" t="s">
        <v>42</v>
      </c>
      <c r="K232" s="73" t="s">
        <v>45</v>
      </c>
      <c r="L232" s="73" t="s">
        <v>52</v>
      </c>
      <c r="M232" s="73" t="s">
        <v>44</v>
      </c>
      <c r="N232" s="566"/>
      <c r="O232" s="481"/>
    </row>
    <row r="233" spans="1:15">
      <c r="A233" s="482" t="s">
        <v>18</v>
      </c>
      <c r="B233" s="482"/>
      <c r="C233" s="482"/>
      <c r="D233" s="482"/>
      <c r="E233" s="482"/>
      <c r="F233" s="482"/>
      <c r="G233" s="482"/>
      <c r="H233" s="482"/>
      <c r="I233" s="482"/>
      <c r="J233" s="482"/>
      <c r="K233" s="482"/>
      <c r="L233" s="482"/>
      <c r="M233" s="482"/>
      <c r="N233" s="482"/>
      <c r="O233" s="386"/>
    </row>
    <row r="234" spans="1:15">
      <c r="A234" s="78" t="s">
        <v>19</v>
      </c>
      <c r="B234" s="76">
        <v>1</v>
      </c>
      <c r="C234" s="387">
        <v>18899</v>
      </c>
      <c r="D234" s="387"/>
      <c r="E234" s="399">
        <f>B234*C234</f>
        <v>18899</v>
      </c>
      <c r="F234" s="71"/>
      <c r="G234" s="71"/>
      <c r="H234" s="71"/>
      <c r="I234" s="71"/>
      <c r="J234" s="71">
        <f>E234*25%</f>
        <v>4724.75</v>
      </c>
      <c r="K234" s="71">
        <f>J234+E234</f>
        <v>23623.75</v>
      </c>
      <c r="L234" s="71">
        <f>K234*80%</f>
        <v>18899</v>
      </c>
      <c r="M234" s="71">
        <f>L234+K234</f>
        <v>42522.75</v>
      </c>
      <c r="N234" s="71">
        <f>M234</f>
        <v>42522.75</v>
      </c>
      <c r="O234" s="386"/>
    </row>
    <row r="235" spans="1:15" ht="38.25">
      <c r="A235" s="75" t="s">
        <v>192</v>
      </c>
      <c r="B235" s="74">
        <v>1</v>
      </c>
      <c r="C235" s="236">
        <v>15309</v>
      </c>
      <c r="D235" s="236"/>
      <c r="E235" s="400">
        <f>B235*C235</f>
        <v>15309</v>
      </c>
      <c r="F235" s="79"/>
      <c r="G235" s="79"/>
      <c r="H235" s="79"/>
      <c r="I235" s="79"/>
      <c r="J235" s="79">
        <f>E235*25%</f>
        <v>3827.25</v>
      </c>
      <c r="K235" s="79">
        <f>J235+E235</f>
        <v>19136.25</v>
      </c>
      <c r="L235" s="79">
        <f>K235*80%</f>
        <v>15309</v>
      </c>
      <c r="M235" s="79">
        <f>L235+K235</f>
        <v>34445.25</v>
      </c>
      <c r="N235" s="79">
        <f>M235</f>
        <v>34445.25</v>
      </c>
      <c r="O235" s="386"/>
    </row>
    <row r="236" spans="1:15" ht="38.25">
      <c r="A236" s="75" t="s">
        <v>189</v>
      </c>
      <c r="B236" s="74">
        <v>0.5</v>
      </c>
      <c r="C236" s="236">
        <v>15309</v>
      </c>
      <c r="D236" s="236"/>
      <c r="E236" s="400">
        <f>B236*C236</f>
        <v>7654.5</v>
      </c>
      <c r="F236" s="79"/>
      <c r="G236" s="79"/>
      <c r="H236" s="79"/>
      <c r="I236" s="79"/>
      <c r="J236" s="79">
        <f>E236*25%</f>
        <v>1913.625</v>
      </c>
      <c r="K236" s="79">
        <f>J236+E236</f>
        <v>9568.125</v>
      </c>
      <c r="L236" s="79">
        <f>K236*80%</f>
        <v>7654.5</v>
      </c>
      <c r="M236" s="79">
        <f>L236+K236</f>
        <v>17222.625</v>
      </c>
      <c r="N236" s="79">
        <f>M236</f>
        <v>17222.625</v>
      </c>
      <c r="O236" s="386"/>
    </row>
    <row r="237" spans="1:15">
      <c r="A237" s="98" t="s">
        <v>15</v>
      </c>
      <c r="B237" s="100">
        <f>SUM(B234:B236)</f>
        <v>2.5</v>
      </c>
      <c r="C237" s="388"/>
      <c r="D237" s="388"/>
      <c r="E237" s="401">
        <f>SUM(E234:E236)</f>
        <v>41862.5</v>
      </c>
      <c r="F237" s="389"/>
      <c r="G237" s="389"/>
      <c r="H237" s="389"/>
      <c r="I237" s="389"/>
      <c r="J237" s="389">
        <f>SUM(J234:J236)</f>
        <v>10465.625</v>
      </c>
      <c r="K237" s="389">
        <f>SUM(K234:K236)</f>
        <v>52328.125</v>
      </c>
      <c r="L237" s="389">
        <f>SUM(L234:L236)</f>
        <v>41862.5</v>
      </c>
      <c r="M237" s="389">
        <f>SUM(M234:M236)</f>
        <v>94190.625</v>
      </c>
      <c r="N237" s="389">
        <f>SUM(N234:N236)</f>
        <v>94190.625</v>
      </c>
      <c r="O237" s="389"/>
    </row>
    <row r="238" spans="1:15">
      <c r="A238" s="483" t="s">
        <v>22</v>
      </c>
      <c r="B238" s="483"/>
      <c r="C238" s="483"/>
      <c r="D238" s="483"/>
      <c r="E238" s="483"/>
      <c r="F238" s="483"/>
      <c r="G238" s="483"/>
      <c r="H238" s="483"/>
      <c r="I238" s="483"/>
      <c r="J238" s="483"/>
      <c r="K238" s="483"/>
      <c r="L238" s="483"/>
      <c r="M238" s="483"/>
      <c r="N238" s="483"/>
      <c r="O238" s="386"/>
    </row>
    <row r="239" spans="1:15">
      <c r="A239" s="75" t="s">
        <v>187</v>
      </c>
      <c r="B239" s="137">
        <v>16.72</v>
      </c>
      <c r="C239" s="137">
        <v>12600</v>
      </c>
      <c r="D239" s="137">
        <v>1.17</v>
      </c>
      <c r="E239" s="325">
        <f>B239*C239*D239</f>
        <v>246486.24</v>
      </c>
      <c r="F239" s="325"/>
      <c r="G239" s="325"/>
      <c r="H239" s="325">
        <v>11000</v>
      </c>
      <c r="I239" s="325">
        <v>7813.05</v>
      </c>
      <c r="J239" s="325">
        <f>E239*25%</f>
        <v>61621.56</v>
      </c>
      <c r="K239" s="325">
        <f>E239+H239+I239+J239</f>
        <v>326920.84999999998</v>
      </c>
      <c r="L239" s="325">
        <f>K239*80%</f>
        <v>261536.68</v>
      </c>
      <c r="M239" s="325">
        <f>E239+H239+I239+J239+L239</f>
        <v>588457.53</v>
      </c>
      <c r="N239" s="325">
        <f>M239</f>
        <v>588457.53</v>
      </c>
      <c r="O239" s="390"/>
    </row>
    <row r="240" spans="1:15">
      <c r="A240" s="98" t="s">
        <v>15</v>
      </c>
      <c r="B240" s="100">
        <f>B239</f>
        <v>16.72</v>
      </c>
      <c r="C240" s="100"/>
      <c r="D240" s="100"/>
      <c r="E240" s="391">
        <f>E239</f>
        <v>246486.24</v>
      </c>
      <c r="F240" s="391"/>
      <c r="G240" s="391"/>
      <c r="H240" s="391">
        <f>H239</f>
        <v>11000</v>
      </c>
      <c r="I240" s="391">
        <f t="shared" ref="I240:N240" si="8">I239</f>
        <v>7813.05</v>
      </c>
      <c r="J240" s="391">
        <f t="shared" si="8"/>
        <v>61621.56</v>
      </c>
      <c r="K240" s="391">
        <f t="shared" si="8"/>
        <v>326920.84999999998</v>
      </c>
      <c r="L240" s="391">
        <f t="shared" si="8"/>
        <v>261536.68</v>
      </c>
      <c r="M240" s="391">
        <f t="shared" si="8"/>
        <v>588457.53</v>
      </c>
      <c r="N240" s="391">
        <f t="shared" si="8"/>
        <v>588457.53</v>
      </c>
      <c r="O240" s="391"/>
    </row>
    <row r="241" spans="1:15">
      <c r="A241" s="99" t="s">
        <v>190</v>
      </c>
      <c r="B241" s="100">
        <f>B240+B237</f>
        <v>19.22</v>
      </c>
      <c r="C241" s="100"/>
      <c r="D241" s="100"/>
      <c r="E241" s="391">
        <f>E240+E237</f>
        <v>288348.74</v>
      </c>
      <c r="F241" s="391"/>
      <c r="G241" s="391"/>
      <c r="H241" s="391">
        <f t="shared" ref="H241:N241" si="9">H240+H237</f>
        <v>11000</v>
      </c>
      <c r="I241" s="391">
        <f t="shared" si="9"/>
        <v>7813.05</v>
      </c>
      <c r="J241" s="391">
        <f t="shared" si="9"/>
        <v>72087.184999999998</v>
      </c>
      <c r="K241" s="391">
        <f t="shared" si="9"/>
        <v>379248.97499999998</v>
      </c>
      <c r="L241" s="391">
        <f t="shared" si="9"/>
        <v>303399.18</v>
      </c>
      <c r="M241" s="391">
        <f t="shared" si="9"/>
        <v>682648.15500000003</v>
      </c>
      <c r="N241" s="391">
        <f t="shared" si="9"/>
        <v>682648.15500000003</v>
      </c>
      <c r="O241" s="391"/>
    </row>
    <row r="242" spans="1:15">
      <c r="A242" s="482" t="s">
        <v>4</v>
      </c>
      <c r="B242" s="482"/>
      <c r="C242" s="482"/>
      <c r="D242" s="482"/>
      <c r="E242" s="482"/>
      <c r="F242" s="482"/>
      <c r="G242" s="482"/>
      <c r="H242" s="482"/>
      <c r="I242" s="482"/>
      <c r="J242" s="482"/>
      <c r="K242" s="482"/>
      <c r="L242" s="482"/>
      <c r="M242" s="482"/>
      <c r="N242" s="482"/>
      <c r="O242" s="393"/>
    </row>
    <row r="243" spans="1:15">
      <c r="A243" s="59" t="s">
        <v>251</v>
      </c>
      <c r="B243" s="74">
        <v>2</v>
      </c>
      <c r="C243" s="236">
        <v>5253</v>
      </c>
      <c r="D243" s="236"/>
      <c r="E243" s="313">
        <f>B243*C243</f>
        <v>10506</v>
      </c>
      <c r="F243" s="313">
        <f>C243/165.5*61*35%*B243</f>
        <v>1355.3057401812689</v>
      </c>
      <c r="G243" s="313">
        <f>C243*12/1986*288/12*B243</f>
        <v>1523.5287009063443</v>
      </c>
      <c r="H243" s="313"/>
      <c r="I243" s="313"/>
      <c r="J243" s="313">
        <f>(E243+F243+G243)*25%</f>
        <v>3346.2086102719036</v>
      </c>
      <c r="K243" s="313">
        <f>SUM(E243:J243)</f>
        <v>16731.043051359517</v>
      </c>
      <c r="L243" s="313">
        <f>K243*80%</f>
        <v>13384.834441087614</v>
      </c>
      <c r="M243" s="313">
        <f>L243+K243</f>
        <v>30115.877492447129</v>
      </c>
      <c r="N243" s="313">
        <f>M243</f>
        <v>30115.877492447129</v>
      </c>
      <c r="O243" s="313"/>
    </row>
    <row r="244" spans="1:15">
      <c r="A244" s="59" t="s">
        <v>3</v>
      </c>
      <c r="B244" s="74">
        <v>0.5</v>
      </c>
      <c r="C244" s="236">
        <v>6944</v>
      </c>
      <c r="D244" s="236"/>
      <c r="E244" s="313">
        <f>B244*C244</f>
        <v>3472</v>
      </c>
      <c r="F244" s="79"/>
      <c r="G244" s="79"/>
      <c r="H244" s="79"/>
      <c r="I244" s="79"/>
      <c r="J244" s="313">
        <f>E244*25%</f>
        <v>868</v>
      </c>
      <c r="K244" s="313">
        <f>J244+E244</f>
        <v>4340</v>
      </c>
      <c r="L244" s="313">
        <f>K244*80%</f>
        <v>3472</v>
      </c>
      <c r="M244" s="313">
        <f>L244+K244</f>
        <v>7812</v>
      </c>
      <c r="N244" s="313">
        <f>M244</f>
        <v>7812</v>
      </c>
      <c r="O244" s="313"/>
    </row>
    <row r="245" spans="1:15" ht="22.5">
      <c r="A245" s="398" t="s">
        <v>53</v>
      </c>
      <c r="B245" s="74">
        <v>3</v>
      </c>
      <c r="C245" s="236">
        <v>5253</v>
      </c>
      <c r="D245" s="236"/>
      <c r="E245" s="313">
        <f>B245*C245</f>
        <v>15759</v>
      </c>
      <c r="F245" s="313"/>
      <c r="G245" s="313"/>
      <c r="H245" s="313"/>
      <c r="I245" s="313"/>
      <c r="J245" s="313">
        <f>E245*25%</f>
        <v>3939.75</v>
      </c>
      <c r="K245" s="313">
        <f>SUM(E245:J245)</f>
        <v>19698.75</v>
      </c>
      <c r="L245" s="313">
        <f>K245*80%</f>
        <v>15759</v>
      </c>
      <c r="M245" s="313">
        <f>L245+K245</f>
        <v>35457.75</v>
      </c>
      <c r="N245" s="313">
        <f>M245</f>
        <v>35457.75</v>
      </c>
      <c r="O245" s="313">
        <f>O250*B245*1.8-(M245/70*30+M245)</f>
        <v>10258.071428571428</v>
      </c>
    </row>
    <row r="246" spans="1:15">
      <c r="A246" s="57" t="s">
        <v>245</v>
      </c>
      <c r="B246" s="74">
        <v>4</v>
      </c>
      <c r="C246" s="236">
        <v>5253</v>
      </c>
      <c r="D246" s="236"/>
      <c r="E246" s="313">
        <f>B246*C246</f>
        <v>21012</v>
      </c>
      <c r="F246" s="313">
        <f>C246/165.5*61*35%*B246</f>
        <v>2710.6114803625378</v>
      </c>
      <c r="G246" s="313">
        <f>C246*12/1986*288/12*B246</f>
        <v>3047.0574018126886</v>
      </c>
      <c r="H246" s="313"/>
      <c r="I246" s="313"/>
      <c r="J246" s="313">
        <f>E246*25%</f>
        <v>5253</v>
      </c>
      <c r="K246" s="313">
        <f>SUM(E246:J246)</f>
        <v>32022.668882175229</v>
      </c>
      <c r="L246" s="313">
        <f>K246*80%</f>
        <v>25618.135105740184</v>
      </c>
      <c r="M246" s="313">
        <f>L246+K246</f>
        <v>57640.803987915409</v>
      </c>
      <c r="N246" s="313">
        <f>M246</f>
        <v>57640.803987915409</v>
      </c>
      <c r="O246" s="313"/>
    </row>
    <row r="247" spans="1:15" ht="33.75">
      <c r="A247" s="129" t="s">
        <v>252</v>
      </c>
      <c r="B247" s="74">
        <v>0.5</v>
      </c>
      <c r="C247" s="236">
        <v>5253</v>
      </c>
      <c r="D247" s="236"/>
      <c r="E247" s="313">
        <f>B247*C247</f>
        <v>2626.5</v>
      </c>
      <c r="F247" s="313"/>
      <c r="G247" s="313"/>
      <c r="H247" s="313"/>
      <c r="I247" s="313"/>
      <c r="J247" s="313">
        <f>(E247+F247+G247)*25%</f>
        <v>656.625</v>
      </c>
      <c r="K247" s="313">
        <f>SUM(E247:J247)</f>
        <v>3283.125</v>
      </c>
      <c r="L247" s="313">
        <f>K247*80%</f>
        <v>2626.5</v>
      </c>
      <c r="M247" s="313">
        <f>L247+K247</f>
        <v>5909.625</v>
      </c>
      <c r="N247" s="313">
        <f>M247</f>
        <v>5909.625</v>
      </c>
      <c r="O247" s="313">
        <f>O250*B247*1.8-(M247/70*30+M247)</f>
        <v>1709.6785714285725</v>
      </c>
    </row>
    <row r="248" spans="1:15">
      <c r="A248" s="394"/>
      <c r="B248" s="392">
        <f>SUM(B243:B247)</f>
        <v>10</v>
      </c>
      <c r="C248" s="392"/>
      <c r="D248" s="392"/>
      <c r="E248" s="391">
        <f>SUM(E243:E247)</f>
        <v>53375.5</v>
      </c>
      <c r="F248" s="391">
        <f>SUM(F243:F247)</f>
        <v>4065.9172205438067</v>
      </c>
      <c r="G248" s="391">
        <f>SUM(G243:G247)</f>
        <v>4570.5861027190331</v>
      </c>
      <c r="H248" s="391"/>
      <c r="I248" s="391"/>
      <c r="J248" s="391">
        <f t="shared" ref="J248:O248" si="10">SUM(J243:J247)</f>
        <v>14063.583610271904</v>
      </c>
      <c r="K248" s="391">
        <f t="shared" si="10"/>
        <v>76075.586933534752</v>
      </c>
      <c r="L248" s="391">
        <f t="shared" si="10"/>
        <v>60860.469546827801</v>
      </c>
      <c r="M248" s="391">
        <f t="shared" si="10"/>
        <v>136936.05648036255</v>
      </c>
      <c r="N248" s="391">
        <f t="shared" si="10"/>
        <v>136936.05648036255</v>
      </c>
      <c r="O248" s="391">
        <f t="shared" si="10"/>
        <v>11967.75</v>
      </c>
    </row>
    <row r="249" spans="1:15">
      <c r="A249" s="101" t="s">
        <v>5</v>
      </c>
      <c r="B249" s="326">
        <f>B241+B248</f>
        <v>29.22</v>
      </c>
      <c r="C249" s="326"/>
      <c r="D249" s="326"/>
      <c r="E249" s="326">
        <f>E241+E248</f>
        <v>341724.24</v>
      </c>
      <c r="F249" s="326">
        <f t="shared" ref="F249:O249" si="11">F241+F248</f>
        <v>4065.9172205438067</v>
      </c>
      <c r="G249" s="326">
        <f t="shared" si="11"/>
        <v>4570.5861027190331</v>
      </c>
      <c r="H249" s="326">
        <f t="shared" si="11"/>
        <v>11000</v>
      </c>
      <c r="I249" s="326">
        <f t="shared" si="11"/>
        <v>7813.05</v>
      </c>
      <c r="J249" s="326">
        <f t="shared" si="11"/>
        <v>86150.768610271902</v>
      </c>
      <c r="K249" s="326">
        <f t="shared" si="11"/>
        <v>455324.56193353474</v>
      </c>
      <c r="L249" s="326">
        <f t="shared" si="11"/>
        <v>364259.64954682777</v>
      </c>
      <c r="M249" s="326">
        <f t="shared" si="11"/>
        <v>819584.21148036257</v>
      </c>
      <c r="N249" s="326">
        <f t="shared" si="11"/>
        <v>819584.21148036257</v>
      </c>
      <c r="O249" s="326">
        <f t="shared" si="11"/>
        <v>11967.75</v>
      </c>
    </row>
    <row r="250" spans="1:15">
      <c r="A250" s="80" t="s">
        <v>95</v>
      </c>
      <c r="B250" s="70"/>
      <c r="C250" s="70"/>
      <c r="D250" s="70"/>
      <c r="E250" s="70"/>
      <c r="F250" s="294"/>
      <c r="G250" s="500" t="s">
        <v>161</v>
      </c>
      <c r="H250" s="500"/>
      <c r="I250" s="500"/>
      <c r="J250" s="500"/>
      <c r="K250" s="81"/>
      <c r="L250" s="70"/>
      <c r="M250" s="395"/>
      <c r="N250" s="396" t="s">
        <v>183</v>
      </c>
      <c r="O250" s="397">
        <v>11280</v>
      </c>
    </row>
    <row r="251" spans="1:15">
      <c r="A251" s="70" t="s">
        <v>93</v>
      </c>
      <c r="B251" s="70"/>
      <c r="C251" s="70"/>
      <c r="D251" s="70"/>
      <c r="E251" s="297">
        <f>N241</f>
        <v>682648.15500000003</v>
      </c>
      <c r="F251" s="70"/>
      <c r="G251" s="70" t="s">
        <v>93</v>
      </c>
      <c r="H251" s="82"/>
      <c r="I251" s="82"/>
      <c r="J251" s="69"/>
      <c r="K251" s="297">
        <f>N248+O248</f>
        <v>148903.80648036255</v>
      </c>
      <c r="L251" s="70"/>
      <c r="M251" s="70"/>
      <c r="N251" s="70"/>
      <c r="O251" s="70"/>
    </row>
    <row r="252" spans="1:15">
      <c r="A252" s="70" t="s">
        <v>94</v>
      </c>
      <c r="B252" s="70"/>
      <c r="C252" s="70"/>
      <c r="D252" s="70"/>
      <c r="E252" s="297">
        <f>N241/70*30</f>
        <v>292563.495</v>
      </c>
      <c r="F252" s="70"/>
      <c r="G252" s="70" t="s">
        <v>94</v>
      </c>
      <c r="H252" s="53"/>
      <c r="I252" s="82"/>
      <c r="J252" s="69"/>
      <c r="K252" s="297">
        <f>N248/70*30</f>
        <v>58686.881348726805</v>
      </c>
      <c r="L252" s="70"/>
      <c r="M252" s="70"/>
      <c r="N252" s="70"/>
      <c r="O252" s="70"/>
    </row>
    <row r="253" spans="1:15">
      <c r="A253" s="70" t="s">
        <v>32</v>
      </c>
      <c r="B253" s="70"/>
      <c r="C253" s="70"/>
      <c r="D253" s="70"/>
      <c r="E253" s="297">
        <f>SUM(E251:E252)</f>
        <v>975211.65</v>
      </c>
      <c r="F253" s="70"/>
      <c r="G253" s="70" t="s">
        <v>32</v>
      </c>
      <c r="H253" s="82"/>
      <c r="I253" s="82"/>
      <c r="J253" s="69"/>
      <c r="K253" s="297">
        <f>SUM(K251:K252)</f>
        <v>207590.68782908935</v>
      </c>
      <c r="L253" s="70"/>
      <c r="M253" s="70"/>
      <c r="N253" s="70"/>
      <c r="O253" s="70"/>
    </row>
    <row r="254" spans="1:15">
      <c r="A254" s="296"/>
      <c r="B254" s="70"/>
      <c r="C254" s="70"/>
      <c r="D254" s="70"/>
      <c r="E254" s="70"/>
      <c r="F254" s="70"/>
      <c r="G254" s="70"/>
      <c r="H254" s="53"/>
      <c r="I254" s="82"/>
      <c r="J254" s="69"/>
      <c r="K254" s="70"/>
      <c r="L254" s="70"/>
      <c r="M254" s="70"/>
      <c r="N254" s="70"/>
      <c r="O254" s="70"/>
    </row>
    <row r="255" spans="1:15">
      <c r="A255" s="564" t="s">
        <v>175</v>
      </c>
      <c r="B255" s="564"/>
      <c r="C255" s="564"/>
      <c r="D255" s="413"/>
      <c r="E255" s="70"/>
      <c r="F255" s="70" t="s">
        <v>67</v>
      </c>
      <c r="G255" s="70" t="s">
        <v>61</v>
      </c>
      <c r="H255" s="70"/>
      <c r="I255" s="70"/>
      <c r="J255" s="70"/>
      <c r="K255" s="70"/>
      <c r="L255" s="70"/>
      <c r="M255" s="70"/>
      <c r="N255" s="70"/>
      <c r="O255" s="70"/>
    </row>
  </sheetData>
  <mergeCells count="107">
    <mergeCell ref="A71:C71"/>
    <mergeCell ref="A77:N77"/>
    <mergeCell ref="B78:M78"/>
    <mergeCell ref="F102:J102"/>
    <mergeCell ref="F167:J167"/>
    <mergeCell ref="K68:L68"/>
    <mergeCell ref="B69:J69"/>
    <mergeCell ref="F70:G70"/>
    <mergeCell ref="J70:M70"/>
    <mergeCell ref="A146:N146"/>
    <mergeCell ref="A86:N86"/>
    <mergeCell ref="A92:N92"/>
    <mergeCell ref="E144:E145"/>
    <mergeCell ref="C144:C145"/>
    <mergeCell ref="A95:N95"/>
    <mergeCell ref="A160:N160"/>
    <mergeCell ref="A157:N157"/>
    <mergeCell ref="A151:N151"/>
    <mergeCell ref="F136:G136"/>
    <mergeCell ref="N144:N145"/>
    <mergeCell ref="F144:M144"/>
    <mergeCell ref="A136:C136"/>
    <mergeCell ref="B144:B145"/>
    <mergeCell ref="B143:M143"/>
    <mergeCell ref="A142:N142"/>
    <mergeCell ref="A140:N140"/>
    <mergeCell ref="A137:G137"/>
    <mergeCell ref="J135:M135"/>
    <mergeCell ref="F135:G135"/>
    <mergeCell ref="B134:J134"/>
    <mergeCell ref="K65:M66"/>
    <mergeCell ref="A72:G72"/>
    <mergeCell ref="A75:N75"/>
    <mergeCell ref="K133:L133"/>
    <mergeCell ref="K130:M131"/>
    <mergeCell ref="A81:N81"/>
    <mergeCell ref="B79:B80"/>
    <mergeCell ref="A17:N17"/>
    <mergeCell ref="A22:N22"/>
    <mergeCell ref="N79:N80"/>
    <mergeCell ref="F38:J38"/>
    <mergeCell ref="A28:N28"/>
    <mergeCell ref="F71:G71"/>
    <mergeCell ref="C79:C80"/>
    <mergeCell ref="E79:E80"/>
    <mergeCell ref="F79:M79"/>
    <mergeCell ref="A31:N31"/>
    <mergeCell ref="E15:E16"/>
    <mergeCell ref="B14:M14"/>
    <mergeCell ref="N15:N16"/>
    <mergeCell ref="F15:M15"/>
    <mergeCell ref="C15:C16"/>
    <mergeCell ref="B15:B16"/>
    <mergeCell ref="K1:M2"/>
    <mergeCell ref="K4:L4"/>
    <mergeCell ref="B5:J5"/>
    <mergeCell ref="F6:G6"/>
    <mergeCell ref="J6:M6"/>
    <mergeCell ref="A13:N13"/>
    <mergeCell ref="A11:N11"/>
    <mergeCell ref="F7:G7"/>
    <mergeCell ref="A8:G8"/>
    <mergeCell ref="A7:C7"/>
    <mergeCell ref="K185:M186"/>
    <mergeCell ref="K188:L188"/>
    <mergeCell ref="B189:J189"/>
    <mergeCell ref="F190:G190"/>
    <mergeCell ref="J190:M190"/>
    <mergeCell ref="A191:C191"/>
    <mergeCell ref="F191:G191"/>
    <mergeCell ref="A192:G192"/>
    <mergeCell ref="A195:A196"/>
    <mergeCell ref="B195:B196"/>
    <mergeCell ref="C195:C196"/>
    <mergeCell ref="E195:E196"/>
    <mergeCell ref="F195:M195"/>
    <mergeCell ref="A193:G193"/>
    <mergeCell ref="A206:N206"/>
    <mergeCell ref="G214:J214"/>
    <mergeCell ref="A219:C219"/>
    <mergeCell ref="N195:N196"/>
    <mergeCell ref="O195:O196"/>
    <mergeCell ref="A197:N197"/>
    <mergeCell ref="A202:N202"/>
    <mergeCell ref="D195:D196"/>
    <mergeCell ref="K221:M222"/>
    <mergeCell ref="K224:L224"/>
    <mergeCell ref="B225:J225"/>
    <mergeCell ref="F226:G226"/>
    <mergeCell ref="J226:M226"/>
    <mergeCell ref="A227:C227"/>
    <mergeCell ref="F227:G227"/>
    <mergeCell ref="A228:G228"/>
    <mergeCell ref="A229:G229"/>
    <mergeCell ref="A231:A232"/>
    <mergeCell ref="B231:B232"/>
    <mergeCell ref="C231:C232"/>
    <mergeCell ref="D231:D232"/>
    <mergeCell ref="E231:E232"/>
    <mergeCell ref="F231:M231"/>
    <mergeCell ref="A255:C255"/>
    <mergeCell ref="N231:N232"/>
    <mergeCell ref="O231:O232"/>
    <mergeCell ref="A233:N233"/>
    <mergeCell ref="A238:N238"/>
    <mergeCell ref="A242:N242"/>
    <mergeCell ref="G250:J250"/>
  </mergeCells>
  <phoneticPr fontId="0" type="noConversion"/>
  <pageMargins left="0.19685039370078741" right="0.15748031496062992" top="0.19685039370078741" bottom="0.19685039370078741" header="0.15748031496062992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Пластун</vt:lpstr>
      <vt:lpstr>Светлая</vt:lpstr>
      <vt:lpstr>Самарга</vt:lpstr>
      <vt:lpstr>Перетычиха</vt:lpstr>
      <vt:lpstr>Максимовка</vt:lpstr>
      <vt:lpstr>Терней</vt:lpstr>
      <vt:lpstr>М.Кема</vt:lpstr>
      <vt:lpstr>АГЗУ</vt:lpstr>
      <vt:lpstr>АМГУ</vt:lpstr>
      <vt:lpstr>У-Собол</vt:lpstr>
      <vt:lpstr>СВОД</vt:lpstr>
      <vt:lpstr>Лист1</vt:lpstr>
    </vt:vector>
  </TitlesOfParts>
  <Company>OCB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Кема</cp:lastModifiedBy>
  <cp:lastPrinted>2019-09-26T03:19:44Z</cp:lastPrinted>
  <dcterms:created xsi:type="dcterms:W3CDTF">2003-12-17T22:39:00Z</dcterms:created>
  <dcterms:modified xsi:type="dcterms:W3CDTF">2019-12-15T11:17:49Z</dcterms:modified>
</cp:coreProperties>
</file>